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08" windowHeight="7680" activeTab="3"/>
  </bookViews>
  <sheets>
    <sheet name="К-т удорожания" sheetId="1" r:id="rId1"/>
    <sheet name="ИБР" sheetId="2" r:id="rId2"/>
    <sheet name="Дотация из РФФПП" sheetId="3" r:id="rId3"/>
    <sheet name="Распредел.дотаци." sheetId="4" r:id="rId4"/>
  </sheets>
  <externalReferences>
    <externalReference r:id="rId7"/>
  </externalReferences>
  <definedNames>
    <definedName name="_xlnm.Print_Area" localSheetId="3">'Распредел.дотаци.'!$A$1:$I$18</definedName>
  </definedNames>
  <calcPr fullCalcOnLoad="1"/>
</workbook>
</file>

<file path=xl/sharedStrings.xml><?xml version="1.0" encoding="utf-8"?>
<sst xmlns="http://schemas.openxmlformats.org/spreadsheetml/2006/main" count="152" uniqueCount="105">
  <si>
    <t>Наименование поселений</t>
  </si>
  <si>
    <t>Коэффициент масштаба</t>
  </si>
  <si>
    <t>Удельный вес гр.5 в  гр.2</t>
  </si>
  <si>
    <t>Коэффициент дисперности</t>
  </si>
  <si>
    <t>Расходы на оплату коммунальных услуг, утвержденные на очередной финансовый год, тыс.руб.</t>
  </si>
  <si>
    <t>Численность населения, прожив.в населенных пунктах менее 500 чел., тыс.чел.</t>
  </si>
  <si>
    <t>Инзенское г/поселение</t>
  </si>
  <si>
    <t>Глотовское г/поселение</t>
  </si>
  <si>
    <t>Валгусское с/поселение</t>
  </si>
  <si>
    <t>Коржевское с/поселение</t>
  </si>
  <si>
    <t>Оськинское с/ поселение</t>
  </si>
  <si>
    <t>Сюксюмское с/поселение</t>
  </si>
  <si>
    <t>Труслейское с/поселение</t>
  </si>
  <si>
    <t>Черемушкинское с/посел.</t>
  </si>
  <si>
    <t>Всего по поселениям</t>
  </si>
  <si>
    <t>Таблица 1.</t>
  </si>
  <si>
    <t>Контингент (численность постоянного поселения)</t>
  </si>
  <si>
    <t>Коэффицие-нт масштаба</t>
  </si>
  <si>
    <t>Доля расходов на аппарат в расходах, вошедших в репрезентативную систему (общая для всех поселений)</t>
  </si>
  <si>
    <t>Коэффициент стоимости коммунальных услуг</t>
  </si>
  <si>
    <t>ЖКХ</t>
  </si>
  <si>
    <t>Доля расходов на ЖКХ в расходах, вошедших в репрезентативную систему (общая для всех поселений)</t>
  </si>
  <si>
    <t>ИБР по ЖКХ</t>
  </si>
  <si>
    <t>Прочие</t>
  </si>
  <si>
    <t>ИБР по прочим</t>
  </si>
  <si>
    <t>Доходный потенциал на душу населения, руб.</t>
  </si>
  <si>
    <t>БО после выравнивания</t>
  </si>
  <si>
    <t>Таблица 2.</t>
  </si>
  <si>
    <t>Таблица 3.</t>
  </si>
  <si>
    <t>Оськинское с/поселение</t>
  </si>
  <si>
    <t>всего</t>
  </si>
  <si>
    <t>Коэффициент масштаба           = (0,6*гр.2 + 0,4*гр.3) / гр.2</t>
  </si>
  <si>
    <t>Коэффициент стоимости коммунальных услуг для бюджетных учреждений  = (гр.8/гр.2) / (гр.8 всего / гр.2 всего)</t>
  </si>
  <si>
    <t>ИБР по аппарату    = гр.4 / гр.4 всего</t>
  </si>
  <si>
    <t>Контингент (численность постоянного поселения), тыс.чел.</t>
  </si>
  <si>
    <t>Индекс бюджетных расходов поселения (гр.22 из табл.2)</t>
  </si>
  <si>
    <t>Бюджетная обеспечен-ность  = гр.5/гр.6</t>
  </si>
  <si>
    <t>РФФПП на 2008 год</t>
  </si>
  <si>
    <t>ИМТ на 2009 год</t>
  </si>
  <si>
    <t>РФФПП на 2009 год</t>
  </si>
  <si>
    <t>Индекс доходного потенциала =гр.4 / гр.4 всего</t>
  </si>
  <si>
    <t>Коэффици-ент дисперснос-ти                    = 1+гр.6</t>
  </si>
  <si>
    <t>Доля расходов на клубы в расходах, вошедших в репрезентативную систему (общая для всех поселений)</t>
  </si>
  <si>
    <t>Доля расходов на библиотеки в расходах, вошедших в репрезентативную систему (общая для всех поселений)</t>
  </si>
  <si>
    <t>Коэф-т роста  / снижения  =гр.20/гр.19</t>
  </si>
  <si>
    <t>ИБР по клубам              = (гр.8*гр.9 *гр.10) / (гр.8всего* гр.9 всего* гр.10 всего)</t>
  </si>
  <si>
    <t>ИБР по библиотеке              = (гр.14*гр.15 *гр.16) / (гр.14всего* гр.15 всего* гр.16 всего)</t>
  </si>
  <si>
    <r>
      <t xml:space="preserve">ИТОГО </t>
    </r>
    <r>
      <rPr>
        <sz val="11"/>
        <color indexed="8"/>
        <rFont val="Times New Roman"/>
        <family val="1"/>
      </rPr>
      <t>фин. помощь на 2009 год 1-й вариант</t>
    </r>
  </si>
  <si>
    <t>Разница к первона-чальному варианту</t>
  </si>
  <si>
    <t>ИМТ на выпл. з/п с начисл. и оплату ком.усл. на 2010 год 2 вар.</t>
  </si>
  <si>
    <r>
      <t xml:space="preserve">ИТОГО </t>
    </r>
    <r>
      <rPr>
        <sz val="11"/>
        <color indexed="8"/>
        <rFont val="Times New Roman"/>
        <family val="1"/>
      </rPr>
      <t>фин. помощь на 2010 год = гр.9+гр.14+гр.18 2-й вар.</t>
    </r>
  </si>
  <si>
    <t>Коэф-т роста  / снижения  =гр.20/гр.19 2-й вар.</t>
  </si>
  <si>
    <t>Корректи-рующий коэффи-циент</t>
  </si>
  <si>
    <t>ИБР по поселению    = (гр.2*гр.5)+(гр.6*гр.11)+(гр.12*гр.17)</t>
  </si>
  <si>
    <t>Корректи-рующая сумма</t>
  </si>
  <si>
    <t>Коэф-т роста  / снижения  =гр.20/гр.18</t>
  </si>
  <si>
    <r>
      <t xml:space="preserve">ИТОГО </t>
    </r>
    <r>
      <rPr>
        <sz val="11"/>
        <color indexed="8"/>
        <rFont val="Times New Roman"/>
        <family val="1"/>
      </rPr>
      <t>фин. помощь на 2010 год</t>
    </r>
  </si>
  <si>
    <t>Коэф-т роста  / снижения  =гр.9/гр.10</t>
  </si>
  <si>
    <t>Доля в общем объёме</t>
  </si>
  <si>
    <t>Коэф-т роста  / снижения  =гр.17/гр.16</t>
  </si>
  <si>
    <t>Бюджет 2010 г.</t>
  </si>
  <si>
    <t>Бюджет 2011 г.</t>
  </si>
  <si>
    <t>Итого доходов 2011</t>
  </si>
  <si>
    <t>Итого доходов 2010</t>
  </si>
  <si>
    <t>ИБР по прочим              = (гр.21*гр.22 *гр.23) / (гр.21всего* гр.22 всего* гр.23 всего)</t>
  </si>
  <si>
    <t>Доля расходов на прочие в расходах, вошедших в репрезентативную систему (общая для всех поселений)</t>
  </si>
  <si>
    <t>ИБР по поселению    = (гр.2*гр.5)+(гр.6*гр.11)+(гр.12*гр.17)+(гр.19*гр.24)</t>
  </si>
  <si>
    <t>Дотация на выравнива-ние на 2012 год</t>
  </si>
  <si>
    <t>Областная дотация 2012г.</t>
  </si>
  <si>
    <t>Дотация на 2012 год Всего</t>
  </si>
  <si>
    <t>итого 2013</t>
  </si>
  <si>
    <t>субсидии 2013</t>
  </si>
  <si>
    <t>% роста</t>
  </si>
  <si>
    <t>Доходы 2013</t>
  </si>
  <si>
    <t>%</t>
  </si>
  <si>
    <t>ИМТ на выпл. з/п с начисл. и оплату ком.усл. на 2013 год</t>
  </si>
  <si>
    <t xml:space="preserve">ИМТ на выпл. з/п с начисл. и оплату ком.усл. на 2014 год </t>
  </si>
  <si>
    <t>Областная дотация 2014 г.</t>
  </si>
  <si>
    <r>
      <t xml:space="preserve">ИТОГО </t>
    </r>
    <r>
      <rPr>
        <sz val="11"/>
        <color indexed="8"/>
        <rFont val="Times New Roman"/>
        <family val="1"/>
      </rPr>
      <t>фин. помощь на 2013 год = гр.10+гр.12+гр.14</t>
    </r>
  </si>
  <si>
    <r>
      <t xml:space="preserve">ИТОГО </t>
    </r>
    <r>
      <rPr>
        <sz val="11"/>
        <color indexed="8"/>
        <rFont val="Times New Roman"/>
        <family val="1"/>
      </rPr>
      <t>фин. помощь на 2014 год = гр.9+гр.13+гр.15</t>
    </r>
  </si>
  <si>
    <r>
      <t xml:space="preserve">ИТОГО </t>
    </r>
    <r>
      <rPr>
        <sz val="11"/>
        <color indexed="8"/>
        <rFont val="Times New Roman"/>
        <family val="1"/>
      </rPr>
      <t>фин. помощь на 2014 год = гр.9+гр.14+гр.18 1-й вар.</t>
    </r>
  </si>
  <si>
    <t>Средняя численность населения муниципал. района, считается для всех поселений общая</t>
  </si>
  <si>
    <t>Формирование, утверждение, исполнение бюджета поселения,  контроль  за исполнением  бюджета</t>
  </si>
  <si>
    <t xml:space="preserve">Организация библиотечного обслуживания населения, комплектование и обеспечение сохранности библиотечных фондов библиотек
поселения </t>
  </si>
  <si>
    <t xml:space="preserve">Создание условий для организации досуга и обеспечение жителей поселения услугами организации культуры
</t>
  </si>
  <si>
    <t xml:space="preserve">Иные вопросы местного значения поселений, определенные статьёй 14 Федерального закона Российской Федерации от 6 октября 2003 года № 131 – ФЗ «Об общих принципах организации местного самоуправления в Российской Федерации», которые решаются решаются органами местного самоуправления поселений
</t>
  </si>
  <si>
    <t>Черемушкинское с/поселение</t>
  </si>
  <si>
    <t>Дотация на выравнива-ние на 2015 год</t>
  </si>
  <si>
    <t>Дотация на выравнивание  на 2014 год</t>
  </si>
  <si>
    <t>итого 2014</t>
  </si>
  <si>
    <t>Доходы 2014</t>
  </si>
  <si>
    <t xml:space="preserve"> </t>
  </si>
  <si>
    <t>Распределение областной дотации по поселениям на 2019 год</t>
  </si>
  <si>
    <t xml:space="preserve"> Распределение областной дотации по поселениям на 2018 год </t>
  </si>
  <si>
    <t>Численность постоянного населения поселения на 01.01.2017 г., тыс.чел.</t>
  </si>
  <si>
    <t>Распределение областной дотации по поселениям на 2020 год</t>
  </si>
  <si>
    <t>Расчет коэффициентов удорожания стоимости предоставления муниципальных услуг,отражающих факторы,влиящие на стоимость предоставляемых муниципальных услуг  на 2018 год</t>
  </si>
  <si>
    <t>Расчет индекса бюджетных расходов поселений на 2018 год</t>
  </si>
  <si>
    <t>Доходный потенциал на 2018 год по поселениям, рассчитанный по формуле, тыс.руб.</t>
  </si>
  <si>
    <t>Расчет дотации из районного фонда финансовой поддержки поселений на 2018 год</t>
  </si>
  <si>
    <t xml:space="preserve">ставится после того как Мин.фин размещает фин.помощь </t>
  </si>
  <si>
    <t>на сайте, а потом утверждается на ЗСО</t>
  </si>
  <si>
    <t>Объем средств, необходимый для доведения бюджетной обеспеченности до среднерайонного уровня (прогноз доходов по всем поселениям с учетом субвенций на выравнивание из областного ФК)*(1,156285-гр.7)*гр.6*гр.2</t>
  </si>
  <si>
    <t>и плановый период 2019-2020 годов</t>
  </si>
  <si>
    <t>Распределение областной дотации по поселениям на 2018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</si>
</sst>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.00000000000"/>
    <numFmt numFmtId="185" formatCode="#,##0.000000000000"/>
    <numFmt numFmtId="186" formatCode="#,##0.0000000000000"/>
    <numFmt numFmtId="187" formatCode="#,##0.00000000000000"/>
    <numFmt numFmtId="188" formatCode="#,##0.000000000000000"/>
    <numFmt numFmtId="189" formatCode="#,##0.0000000000000000"/>
    <numFmt numFmtId="190" formatCode="#,##0.00000000000000000"/>
    <numFmt numFmtId="191" formatCode="0.000000000"/>
    <numFmt numFmtId="192" formatCode="0.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4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00B0F0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 vertical="top"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168" fontId="50" fillId="0" borderId="10" xfId="0" applyNumberFormat="1" applyFont="1" applyBorder="1" applyAlignment="1">
      <alignment/>
    </xf>
    <xf numFmtId="170" fontId="50" fillId="0" borderId="0" xfId="0" applyNumberFormat="1" applyFont="1" applyAlignment="1">
      <alignment/>
    </xf>
    <xf numFmtId="170" fontId="51" fillId="0" borderId="0" xfId="0" applyNumberFormat="1" applyFont="1" applyAlignment="1">
      <alignment/>
    </xf>
    <xf numFmtId="0" fontId="50" fillId="33" borderId="0" xfId="0" applyFont="1" applyFill="1" applyAlignment="1">
      <alignment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2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0" fillId="8" borderId="10" xfId="0" applyFont="1" applyFill="1" applyBorder="1" applyAlignment="1">
      <alignment/>
    </xf>
    <xf numFmtId="0" fontId="55" fillId="0" borderId="0" xfId="0" applyFont="1" applyAlignment="1">
      <alignment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34" borderId="0" xfId="0" applyFont="1" applyFill="1" applyAlignment="1">
      <alignment/>
    </xf>
    <xf numFmtId="2" fontId="56" fillId="35" borderId="0" xfId="0" applyNumberFormat="1" applyFont="1" applyFill="1" applyAlignment="1">
      <alignment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169" fontId="50" fillId="0" borderId="10" xfId="0" applyNumberFormat="1" applyFont="1" applyFill="1" applyBorder="1" applyAlignment="1">
      <alignment/>
    </xf>
    <xf numFmtId="170" fontId="50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167" fontId="50" fillId="0" borderId="10" xfId="0" applyNumberFormat="1" applyFont="1" applyFill="1" applyBorder="1" applyAlignment="1">
      <alignment/>
    </xf>
    <xf numFmtId="1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170" fontId="57" fillId="0" borderId="10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2" fontId="57" fillId="0" borderId="10" xfId="0" applyNumberFormat="1" applyFont="1" applyFill="1" applyBorder="1" applyAlignment="1">
      <alignment/>
    </xf>
    <xf numFmtId="170" fontId="59" fillId="0" borderId="10" xfId="0" applyNumberFormat="1" applyFont="1" applyFill="1" applyBorder="1" applyAlignment="1">
      <alignment/>
    </xf>
    <xf numFmtId="2" fontId="59" fillId="0" borderId="10" xfId="0" applyNumberFormat="1" applyFont="1" applyFill="1" applyBorder="1" applyAlignment="1">
      <alignment/>
    </xf>
    <xf numFmtId="0" fontId="57" fillId="36" borderId="10" xfId="0" applyFont="1" applyFill="1" applyBorder="1" applyAlignment="1">
      <alignment/>
    </xf>
    <xf numFmtId="2" fontId="57" fillId="36" borderId="10" xfId="0" applyNumberFormat="1" applyFont="1" applyFill="1" applyBorder="1" applyAlignment="1">
      <alignment/>
    </xf>
    <xf numFmtId="169" fontId="51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/>
    </xf>
    <xf numFmtId="4" fontId="50" fillId="36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60" fillId="36" borderId="10" xfId="0" applyNumberFormat="1" applyFont="1" applyFill="1" applyBorder="1" applyAlignment="1">
      <alignment/>
    </xf>
    <xf numFmtId="4" fontId="50" fillId="0" borderId="0" xfId="0" applyNumberFormat="1" applyFont="1" applyFill="1" applyAlignment="1">
      <alignment/>
    </xf>
    <xf numFmtId="4" fontId="60" fillId="0" borderId="1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4" fontId="61" fillId="0" borderId="10" xfId="0" applyNumberFormat="1" applyFont="1" applyFill="1" applyBorder="1" applyAlignment="1">
      <alignment/>
    </xf>
    <xf numFmtId="4" fontId="51" fillId="0" borderId="0" xfId="0" applyNumberFormat="1" applyFont="1" applyFill="1" applyAlignment="1">
      <alignment/>
    </xf>
    <xf numFmtId="4" fontId="50" fillId="0" borderId="0" xfId="0" applyNumberFormat="1" applyFont="1" applyAlignment="1">
      <alignment/>
    </xf>
    <xf numFmtId="4" fontId="60" fillId="0" borderId="10" xfId="0" applyNumberFormat="1" applyFont="1" applyBorder="1" applyAlignment="1">
      <alignment/>
    </xf>
    <xf numFmtId="4" fontId="50" fillId="34" borderId="10" xfId="0" applyNumberFormat="1" applyFont="1" applyFill="1" applyBorder="1" applyAlignment="1">
      <alignment/>
    </xf>
    <xf numFmtId="4" fontId="50" fillId="34" borderId="0" xfId="0" applyNumberFormat="1" applyFont="1" applyFill="1" applyAlignment="1">
      <alignment/>
    </xf>
    <xf numFmtId="4" fontId="51" fillId="36" borderId="10" xfId="0" applyNumberFormat="1" applyFont="1" applyFill="1" applyBorder="1" applyAlignment="1">
      <alignment/>
    </xf>
    <xf numFmtId="4" fontId="51" fillId="0" borderId="10" xfId="0" applyNumberFormat="1" applyFont="1" applyBorder="1" applyAlignment="1">
      <alignment/>
    </xf>
    <xf numFmtId="4" fontId="51" fillId="0" borderId="0" xfId="0" applyNumberFormat="1" applyFont="1" applyFill="1" applyBorder="1" applyAlignment="1">
      <alignment/>
    </xf>
    <xf numFmtId="4" fontId="51" fillId="16" borderId="10" xfId="0" applyNumberFormat="1" applyFont="1" applyFill="1" applyBorder="1" applyAlignment="1">
      <alignment/>
    </xf>
    <xf numFmtId="4" fontId="51" fillId="17" borderId="10" xfId="0" applyNumberFormat="1" applyFont="1" applyFill="1" applyBorder="1" applyAlignment="1">
      <alignment/>
    </xf>
    <xf numFmtId="4" fontId="61" fillId="35" borderId="10" xfId="0" applyNumberFormat="1" applyFont="1" applyFill="1" applyBorder="1" applyAlignment="1">
      <alignment/>
    </xf>
    <xf numFmtId="4" fontId="51" fillId="33" borderId="10" xfId="0" applyNumberFormat="1" applyFont="1" applyFill="1" applyBorder="1" applyAlignment="1">
      <alignment/>
    </xf>
    <xf numFmtId="4" fontId="50" fillId="8" borderId="10" xfId="0" applyNumberFormat="1" applyFont="1" applyFill="1" applyBorder="1" applyAlignment="1">
      <alignment/>
    </xf>
    <xf numFmtId="4" fontId="51" fillId="0" borderId="0" xfId="0" applyNumberFormat="1" applyFont="1" applyAlignment="1">
      <alignment/>
    </xf>
    <xf numFmtId="4" fontId="56" fillId="35" borderId="0" xfId="0" applyNumberFormat="1" applyFont="1" applyFill="1" applyAlignment="1">
      <alignment/>
    </xf>
    <xf numFmtId="175" fontId="51" fillId="0" borderId="10" xfId="0" applyNumberFormat="1" applyFont="1" applyBorder="1" applyAlignment="1">
      <alignment/>
    </xf>
    <xf numFmtId="175" fontId="50" fillId="36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177" fontId="50" fillId="0" borderId="10" xfId="0" applyNumberFormat="1" applyFont="1" applyBorder="1" applyAlignment="1">
      <alignment/>
    </xf>
    <xf numFmtId="177" fontId="50" fillId="36" borderId="10" xfId="0" applyNumberFormat="1" applyFont="1" applyFill="1" applyBorder="1" applyAlignment="1">
      <alignment/>
    </xf>
    <xf numFmtId="0" fontId="51" fillId="35" borderId="11" xfId="0" applyFont="1" applyFill="1" applyBorder="1" applyAlignment="1">
      <alignment horizontal="center" vertical="top" wrapText="1"/>
    </xf>
    <xf numFmtId="0" fontId="51" fillId="35" borderId="12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/>
    </xf>
    <xf numFmtId="4" fontId="51" fillId="35" borderId="10" xfId="0" applyNumberFormat="1" applyFont="1" applyFill="1" applyBorder="1" applyAlignment="1">
      <alignment/>
    </xf>
    <xf numFmtId="178" fontId="50" fillId="0" borderId="10" xfId="0" applyNumberFormat="1" applyFont="1" applyFill="1" applyBorder="1" applyAlignment="1">
      <alignment/>
    </xf>
    <xf numFmtId="178" fontId="51" fillId="0" borderId="10" xfId="0" applyNumberFormat="1" applyFont="1" applyBorder="1" applyAlignment="1">
      <alignment/>
    </xf>
    <xf numFmtId="168" fontId="51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168" fontId="50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169" fontId="50" fillId="0" borderId="0" xfId="0" applyNumberFormat="1" applyFont="1" applyAlignment="1">
      <alignment/>
    </xf>
    <xf numFmtId="0" fontId="63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top" wrapText="1"/>
    </xf>
    <xf numFmtId="1" fontId="52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170" fontId="51" fillId="0" borderId="10" xfId="0" applyNumberFormat="1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" fontId="50" fillId="0" borderId="10" xfId="0" applyNumberFormat="1" applyFont="1" applyFill="1" applyBorder="1" applyAlignment="1">
      <alignment/>
    </xf>
    <xf numFmtId="167" fontId="51" fillId="0" borderId="10" xfId="0" applyNumberFormat="1" applyFont="1" applyFill="1" applyBorder="1" applyAlignment="1">
      <alignment/>
    </xf>
    <xf numFmtId="166" fontId="51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/>
    </xf>
    <xf numFmtId="169" fontId="65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 horizont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8" borderId="10" xfId="0" applyFont="1" applyFill="1" applyBorder="1" applyAlignment="1">
      <alignment horizontal="center" vertical="top" wrapText="1"/>
    </xf>
    <xf numFmtId="0" fontId="50" fillId="8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6;&#1074;&#1072;&#1103;%20&#1088;&#1072;&#1089;&#1095;&#1077;&#1090;%20&#1087;&#1086;%20&#1090;&#1072;&#1073;&#1083;&#1080;&#1094;&#1077;%20&#1088;&#1072;&#1089;&#1093;&#1086;&#1076;&#1099;%20&#1087;&#1086;%20&#1088;&#1077;&#1087;&#1088;&#1077;&#1079;&#1077;&#1085;&#1090;&#1072;&#1090;&#1080;&#1074;&#1085;&#1055;&#1086;&#1090;&#1077;&#1085;&#1094;&#1080;&#1072;&#1083;%20&#1085;&#1072;%202014&#1087;&#1086;&#1089;&#1077;&#1083;&#1077;&#1085;&#1080;&#1103;&#1084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парат"/>
      <sheetName val="СДК"/>
      <sheetName val="библиотеки"/>
      <sheetName val="прочее"/>
    </sheetNames>
    <sheetDataSet>
      <sheetData sheetId="2">
        <row r="7">
          <cell r="W7">
            <v>8.9</v>
          </cell>
        </row>
        <row r="8">
          <cell r="W8">
            <v>566.7</v>
          </cell>
        </row>
        <row r="9">
          <cell r="W9">
            <v>68.6</v>
          </cell>
        </row>
        <row r="10">
          <cell r="W10">
            <v>20.7</v>
          </cell>
        </row>
        <row r="11">
          <cell r="W11">
            <v>228.5</v>
          </cell>
        </row>
        <row r="12">
          <cell r="W12">
            <v>153.3</v>
          </cell>
        </row>
        <row r="13">
          <cell r="W13">
            <v>24.1</v>
          </cell>
        </row>
        <row r="14">
          <cell r="W14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zoomScalePageLayoutView="0" workbookViewId="0" topLeftCell="A10">
      <selection activeCell="A1" sqref="A1:J14"/>
    </sheetView>
  </sheetViews>
  <sheetFormatPr defaultColWidth="9.140625" defaultRowHeight="15"/>
  <cols>
    <col min="1" max="1" width="25.7109375" style="1" customWidth="1"/>
    <col min="2" max="2" width="12.57421875" style="1" customWidth="1"/>
    <col min="3" max="3" width="12.00390625" style="1" customWidth="1"/>
    <col min="4" max="4" width="12.8515625" style="1" customWidth="1"/>
    <col min="5" max="5" width="12.8515625" style="1" hidden="1" customWidth="1"/>
    <col min="6" max="6" width="13.28125" style="1" customWidth="1"/>
    <col min="7" max="7" width="10.140625" style="1" customWidth="1"/>
    <col min="8" max="8" width="11.8515625" style="1" customWidth="1"/>
    <col min="9" max="9" width="15.421875" style="1" hidden="1" customWidth="1"/>
    <col min="10" max="10" width="13.00390625" style="1" hidden="1" customWidth="1"/>
    <col min="11" max="11" width="12.00390625" style="1" customWidth="1"/>
    <col min="12" max="12" width="9.140625" style="1" customWidth="1"/>
    <col min="13" max="13" width="10.28125" style="1" customWidth="1"/>
    <col min="14" max="16384" width="9.140625" style="1" customWidth="1"/>
  </cols>
  <sheetData>
    <row r="1" spans="1:10" ht="51.75" customHeight="1">
      <c r="A1" s="115" t="s">
        <v>96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>
      <c r="A2" s="95"/>
      <c r="B2" s="95"/>
      <c r="C2" s="95"/>
      <c r="D2" s="95"/>
      <c r="E2" s="95"/>
      <c r="F2" s="95"/>
      <c r="G2" s="95"/>
      <c r="H2" s="95"/>
      <c r="I2" s="95"/>
      <c r="J2" s="95" t="s">
        <v>15</v>
      </c>
    </row>
    <row r="3" spans="1:10" ht="13.5">
      <c r="A3" s="95"/>
      <c r="B3" s="95"/>
      <c r="C3" s="95"/>
      <c r="D3" s="95"/>
      <c r="E3" s="95"/>
      <c r="F3" s="95"/>
      <c r="G3" s="95"/>
      <c r="H3" s="95"/>
      <c r="I3" s="96" t="s">
        <v>30</v>
      </c>
      <c r="J3" s="95"/>
    </row>
    <row r="4" spans="1:13" ht="123.75" customHeight="1">
      <c r="A4" s="97" t="s">
        <v>0</v>
      </c>
      <c r="B4" s="98" t="s">
        <v>94</v>
      </c>
      <c r="C4" s="98" t="s">
        <v>81</v>
      </c>
      <c r="D4" s="98" t="s">
        <v>31</v>
      </c>
      <c r="E4" s="98"/>
      <c r="F4" s="98" t="s">
        <v>5</v>
      </c>
      <c r="G4" s="98" t="s">
        <v>2</v>
      </c>
      <c r="H4" s="98" t="s">
        <v>41</v>
      </c>
      <c r="I4" s="98" t="s">
        <v>4</v>
      </c>
      <c r="J4" s="98" t="s">
        <v>32</v>
      </c>
      <c r="K4" s="3"/>
      <c r="L4" s="2"/>
      <c r="M4" s="2"/>
    </row>
    <row r="5" spans="1:10" ht="12" customHeight="1">
      <c r="A5" s="50">
        <v>1</v>
      </c>
      <c r="B5" s="50">
        <v>2</v>
      </c>
      <c r="C5" s="50">
        <v>3</v>
      </c>
      <c r="D5" s="50">
        <v>4</v>
      </c>
      <c r="E5" s="50"/>
      <c r="F5" s="99">
        <v>5</v>
      </c>
      <c r="G5" s="50">
        <v>6</v>
      </c>
      <c r="H5" s="50">
        <v>7</v>
      </c>
      <c r="I5" s="50">
        <v>8</v>
      </c>
      <c r="J5" s="50">
        <v>9</v>
      </c>
    </row>
    <row r="6" spans="1:10" ht="13.5">
      <c r="A6" s="30" t="s">
        <v>6</v>
      </c>
      <c r="B6" s="30">
        <v>17989</v>
      </c>
      <c r="C6" s="30"/>
      <c r="D6" s="91">
        <f>((0.6*B6)+(0.4*$C$14))/B6</f>
        <v>0.6837873144699539</v>
      </c>
      <c r="E6" s="91">
        <f>B6-F6</f>
        <v>17988.725</v>
      </c>
      <c r="F6" s="31">
        <f>0.036+0.239</f>
        <v>0.27499999999999997</v>
      </c>
      <c r="G6" s="31">
        <f>F6/B6</f>
        <v>1.5287119906609592E-05</v>
      </c>
      <c r="H6" s="31">
        <f>1+G6</f>
        <v>1.0000152871199066</v>
      </c>
      <c r="I6" s="32">
        <f>'[1]библиотеки'!$W$8</f>
        <v>566.7</v>
      </c>
      <c r="J6" s="91">
        <f>(I6/B6)/($I$14/$B$14)</f>
        <v>0.8230589549336603</v>
      </c>
    </row>
    <row r="7" spans="1:11" ht="13.5">
      <c r="A7" s="30" t="s">
        <v>7</v>
      </c>
      <c r="B7" s="30">
        <v>2364</v>
      </c>
      <c r="C7" s="30"/>
      <c r="D7" s="91">
        <f aca="true" t="shared" si="0" ref="D7:D14">((0.6*B7)+(0.4*$C$14))/B7</f>
        <v>1.2375846023688661</v>
      </c>
      <c r="E7" s="91">
        <f aca="true" t="shared" si="1" ref="E7:E13">B7-F7</f>
        <v>2363.669</v>
      </c>
      <c r="F7" s="31">
        <v>0.331</v>
      </c>
      <c r="G7" s="31">
        <f>F7/B7</f>
        <v>0.00014001692047377326</v>
      </c>
      <c r="H7" s="31">
        <f>1+G7</f>
        <v>1.0001400169204737</v>
      </c>
      <c r="I7" s="32">
        <f>'[1]библиотеки'!$W$7</f>
        <v>8.9</v>
      </c>
      <c r="J7" s="91">
        <f>(I7/B7)/($I$14/$B$14)</f>
        <v>0.09836198580486931</v>
      </c>
      <c r="K7" s="11"/>
    </row>
    <row r="8" spans="1:11" ht="13.5">
      <c r="A8" s="30" t="s">
        <v>8</v>
      </c>
      <c r="B8" s="30">
        <v>1222</v>
      </c>
      <c r="C8" s="30"/>
      <c r="D8" s="91">
        <f t="shared" si="0"/>
        <v>1.8334288052373158</v>
      </c>
      <c r="E8" s="91">
        <f t="shared" si="1"/>
        <v>1220.778</v>
      </c>
      <c r="F8" s="31">
        <v>1.222</v>
      </c>
      <c r="G8" s="31">
        <f>F8/B8</f>
        <v>0.001</v>
      </c>
      <c r="H8" s="31">
        <f aca="true" t="shared" si="2" ref="H8:H14">1+G8</f>
        <v>1.001</v>
      </c>
      <c r="I8" s="32">
        <f>'[1]библиотеки'!$W$9</f>
        <v>68.6</v>
      </c>
      <c r="J8" s="91">
        <f aca="true" t="shared" si="3" ref="J8:J14">(I8/B8)/($I$14/$B$14)</f>
        <v>1.4666877455240053</v>
      </c>
      <c r="K8" s="11"/>
    </row>
    <row r="9" spans="1:11" ht="13.5">
      <c r="A9" s="30" t="s">
        <v>9</v>
      </c>
      <c r="B9" s="30">
        <v>1535</v>
      </c>
      <c r="C9" s="30"/>
      <c r="D9" s="91">
        <f t="shared" si="0"/>
        <v>1.5819218241042345</v>
      </c>
      <c r="E9" s="91">
        <f t="shared" si="1"/>
        <v>1533.968</v>
      </c>
      <c r="F9" s="31">
        <f>1.535-0.503</f>
        <v>1.032</v>
      </c>
      <c r="G9" s="31">
        <f aca="true" t="shared" si="4" ref="G9:G14">F9/B9</f>
        <v>0.0006723127035830619</v>
      </c>
      <c r="H9" s="31">
        <f t="shared" si="2"/>
        <v>1.000672312703583</v>
      </c>
      <c r="I9" s="32">
        <f>'[1]библиотеки'!$W$10</f>
        <v>20.7</v>
      </c>
      <c r="J9" s="91">
        <f t="shared" si="3"/>
        <v>0.35232764359434315</v>
      </c>
      <c r="K9" s="11"/>
    </row>
    <row r="10" spans="1:11" ht="13.5">
      <c r="A10" s="30" t="s">
        <v>29</v>
      </c>
      <c r="B10" s="30">
        <v>3171</v>
      </c>
      <c r="C10" s="30"/>
      <c r="D10" s="91">
        <f t="shared" si="0"/>
        <v>1.0753232418795333</v>
      </c>
      <c r="E10" s="91">
        <f t="shared" si="1"/>
        <v>3169.95</v>
      </c>
      <c r="F10" s="31">
        <v>1.05</v>
      </c>
      <c r="G10" s="31">
        <f t="shared" si="4"/>
        <v>0.00033112582781456954</v>
      </c>
      <c r="H10" s="31">
        <f t="shared" si="2"/>
        <v>1.0003311258278145</v>
      </c>
      <c r="I10" s="32">
        <f>'[1]библиотеки'!$W$11</f>
        <v>228.5</v>
      </c>
      <c r="J10" s="91">
        <f t="shared" si="3"/>
        <v>1.8826722268932807</v>
      </c>
      <c r="K10" s="11"/>
    </row>
    <row r="11" spans="1:11" ht="13.5">
      <c r="A11" s="30" t="s">
        <v>11</v>
      </c>
      <c r="B11" s="30">
        <v>426</v>
      </c>
      <c r="C11" s="30"/>
      <c r="D11" s="91">
        <f>((0.6*B11)+(0.4*$C$14))/B11</f>
        <v>4.138145539906103</v>
      </c>
      <c r="E11" s="91">
        <f t="shared" si="1"/>
        <v>425.574</v>
      </c>
      <c r="F11" s="31">
        <v>0.426</v>
      </c>
      <c r="G11" s="31">
        <f>F11/B11</f>
        <v>0.001</v>
      </c>
      <c r="H11" s="31">
        <f>1+G11</f>
        <v>1.001</v>
      </c>
      <c r="I11" s="32">
        <f>'[1]библиотеки'!$W$12</f>
        <v>153.3</v>
      </c>
      <c r="J11" s="91">
        <f>(I11/B11)/($I$14/$B$14)</f>
        <v>9.401936406094743</v>
      </c>
      <c r="K11" s="11"/>
    </row>
    <row r="12" spans="1:11" ht="13.5">
      <c r="A12" s="30" t="s">
        <v>12</v>
      </c>
      <c r="B12" s="30">
        <v>1956</v>
      </c>
      <c r="C12" s="30"/>
      <c r="D12" s="91">
        <f t="shared" si="0"/>
        <v>1.370577709611452</v>
      </c>
      <c r="E12" s="91">
        <f t="shared" si="1"/>
        <v>1955.195</v>
      </c>
      <c r="F12" s="30">
        <v>0.805</v>
      </c>
      <c r="G12" s="31">
        <f t="shared" si="4"/>
        <v>0.0004115541922290389</v>
      </c>
      <c r="H12" s="31">
        <f t="shared" si="2"/>
        <v>1.000411554192229</v>
      </c>
      <c r="I12" s="32">
        <f>'[1]библиотеки'!$W$13</f>
        <v>24.1</v>
      </c>
      <c r="J12" s="91">
        <f t="shared" si="3"/>
        <v>0.32190887158322057</v>
      </c>
      <c r="K12" s="11"/>
    </row>
    <row r="13" spans="1:11" ht="13.5">
      <c r="A13" s="30" t="s">
        <v>13</v>
      </c>
      <c r="B13" s="30">
        <v>1482</v>
      </c>
      <c r="C13" s="30"/>
      <c r="D13" s="91">
        <f t="shared" si="0"/>
        <v>1.6170377867746288</v>
      </c>
      <c r="E13" s="91">
        <f t="shared" si="1"/>
        <v>1480.518</v>
      </c>
      <c r="F13" s="31">
        <v>1.482</v>
      </c>
      <c r="G13" s="31">
        <f t="shared" si="4"/>
        <v>0.001</v>
      </c>
      <c r="H13" s="31">
        <f t="shared" si="2"/>
        <v>1.001</v>
      </c>
      <c r="I13" s="32">
        <f>'[1]библиотеки'!$W$14</f>
        <v>83</v>
      </c>
      <c r="J13" s="91">
        <f t="shared" si="3"/>
        <v>1.4632368920487815</v>
      </c>
      <c r="K13" s="11"/>
    </row>
    <row r="14" spans="1:11" ht="13.5">
      <c r="A14" s="100" t="s">
        <v>14</v>
      </c>
      <c r="B14" s="49">
        <f>SUM(B6:B13)</f>
        <v>30145</v>
      </c>
      <c r="C14" s="49">
        <f>B14/8</f>
        <v>3768.125</v>
      </c>
      <c r="D14" s="89">
        <f t="shared" si="0"/>
        <v>0.65</v>
      </c>
      <c r="E14" s="89"/>
      <c r="F14" s="49">
        <f>SUM(F6:F13)</f>
        <v>6.623</v>
      </c>
      <c r="G14" s="49">
        <f t="shared" si="4"/>
        <v>0.00021970476032509537</v>
      </c>
      <c r="H14" s="49">
        <f t="shared" si="2"/>
        <v>1.0002197047603252</v>
      </c>
      <c r="I14" s="101">
        <f>SUM(I6:I13)</f>
        <v>1153.8</v>
      </c>
      <c r="J14" s="49">
        <f t="shared" si="3"/>
        <v>1</v>
      </c>
      <c r="K14" s="9"/>
    </row>
    <row r="15" spans="4:10" ht="13.5" hidden="1">
      <c r="D15" s="6">
        <v>1</v>
      </c>
      <c r="E15" s="25"/>
      <c r="F15" s="6"/>
      <c r="G15" s="6"/>
      <c r="H15" s="6"/>
      <c r="I15" s="6"/>
      <c r="J15" s="6"/>
    </row>
    <row r="21" ht="13.5">
      <c r="K21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AI22"/>
  <sheetViews>
    <sheetView zoomScalePageLayoutView="0" workbookViewId="0" topLeftCell="A7">
      <selection activeCell="A1" sqref="A1:AI14"/>
    </sheetView>
  </sheetViews>
  <sheetFormatPr defaultColWidth="9.140625" defaultRowHeight="15"/>
  <cols>
    <col min="1" max="1" width="25.7109375" style="1" customWidth="1"/>
    <col min="2" max="2" width="12.28125" style="1" customWidth="1"/>
    <col min="3" max="3" width="13.28125" style="1" customWidth="1"/>
    <col min="4" max="4" width="12.140625" style="1" customWidth="1"/>
    <col min="5" max="5" width="11.57421875" style="1" customWidth="1"/>
    <col min="6" max="6" width="12.28125" style="1" customWidth="1"/>
    <col min="7" max="7" width="11.57421875" style="1" customWidth="1"/>
    <col min="8" max="8" width="9.140625" style="1" customWidth="1"/>
    <col min="9" max="9" width="9.7109375" style="1" customWidth="1"/>
    <col min="10" max="10" width="13.140625" style="1" customWidth="1"/>
    <col min="11" max="11" width="11.00390625" style="1" customWidth="1"/>
    <col min="12" max="12" width="10.57421875" style="1" hidden="1" customWidth="1"/>
    <col min="13" max="13" width="11.57421875" style="1" hidden="1" customWidth="1"/>
    <col min="14" max="14" width="12.28125" style="1" hidden="1" customWidth="1"/>
    <col min="15" max="15" width="10.28125" style="1" hidden="1" customWidth="1"/>
    <col min="16" max="16" width="10.421875" style="1" hidden="1" customWidth="1"/>
    <col min="17" max="17" width="11.28125" style="1" hidden="1" customWidth="1"/>
    <col min="18" max="18" width="11.421875" style="1" hidden="1" customWidth="1"/>
    <col min="19" max="19" width="12.00390625" style="1" hidden="1" customWidth="1"/>
    <col min="20" max="20" width="10.00390625" style="1" hidden="1" customWidth="1"/>
    <col min="21" max="21" width="12.00390625" style="1" hidden="1" customWidth="1"/>
    <col min="22" max="22" width="10.57421875" style="1" hidden="1" customWidth="1"/>
    <col min="23" max="23" width="11.57421875" style="1" hidden="1" customWidth="1"/>
    <col min="24" max="24" width="11.8515625" style="1" hidden="1" customWidth="1"/>
    <col min="25" max="25" width="13.00390625" style="1" hidden="1" customWidth="1"/>
    <col min="26" max="26" width="13.28125" style="1" hidden="1" customWidth="1"/>
    <col min="27" max="27" width="10.57421875" style="1" hidden="1" customWidth="1"/>
    <col min="28" max="28" width="15.00390625" style="11" customWidth="1"/>
    <col min="29" max="29" width="11.7109375" style="1" customWidth="1"/>
    <col min="30" max="30" width="12.7109375" style="1" customWidth="1"/>
    <col min="31" max="31" width="13.00390625" style="1" customWidth="1"/>
    <col min="32" max="32" width="11.421875" style="1" customWidth="1"/>
    <col min="33" max="33" width="11.57421875" style="1" customWidth="1"/>
    <col min="34" max="34" width="10.28125" style="1" customWidth="1"/>
    <col min="35" max="35" width="13.421875" style="1" customWidth="1"/>
    <col min="36" max="16384" width="9.140625" style="1" customWidth="1"/>
  </cols>
  <sheetData>
    <row r="1" spans="1:35" ht="13.5">
      <c r="A1" s="120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ht="13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 t="s">
        <v>27</v>
      </c>
      <c r="AI2" s="95"/>
    </row>
    <row r="3" spans="1:35" ht="108" customHeight="1">
      <c r="A3" s="123" t="s">
        <v>0</v>
      </c>
      <c r="B3" s="116" t="s">
        <v>82</v>
      </c>
      <c r="C3" s="121"/>
      <c r="D3" s="121"/>
      <c r="E3" s="122"/>
      <c r="F3" s="116" t="s">
        <v>84</v>
      </c>
      <c r="G3" s="124"/>
      <c r="H3" s="124"/>
      <c r="I3" s="124"/>
      <c r="J3" s="124"/>
      <c r="K3" s="125"/>
      <c r="L3" s="123" t="s">
        <v>20</v>
      </c>
      <c r="M3" s="123"/>
      <c r="N3" s="123"/>
      <c r="O3" s="123"/>
      <c r="P3" s="123"/>
      <c r="Q3" s="123" t="s">
        <v>23</v>
      </c>
      <c r="R3" s="123"/>
      <c r="S3" s="123"/>
      <c r="T3" s="123"/>
      <c r="U3" s="123"/>
      <c r="V3" s="126" t="s">
        <v>83</v>
      </c>
      <c r="W3" s="127"/>
      <c r="X3" s="127"/>
      <c r="Y3" s="127"/>
      <c r="Z3" s="127"/>
      <c r="AA3" s="128"/>
      <c r="AB3" s="119" t="s">
        <v>53</v>
      </c>
      <c r="AC3" s="102"/>
      <c r="AD3" s="116" t="s">
        <v>85</v>
      </c>
      <c r="AE3" s="117"/>
      <c r="AF3" s="117"/>
      <c r="AG3" s="117"/>
      <c r="AH3" s="118"/>
      <c r="AI3" s="119" t="s">
        <v>66</v>
      </c>
    </row>
    <row r="4" spans="1:35" ht="144.75" customHeight="1">
      <c r="A4" s="123"/>
      <c r="B4" s="92" t="s">
        <v>18</v>
      </c>
      <c r="C4" s="92" t="s">
        <v>34</v>
      </c>
      <c r="D4" s="92" t="s">
        <v>17</v>
      </c>
      <c r="E4" s="92" t="s">
        <v>33</v>
      </c>
      <c r="F4" s="92" t="s">
        <v>42</v>
      </c>
      <c r="G4" s="92" t="s">
        <v>16</v>
      </c>
      <c r="H4" s="92" t="s">
        <v>3</v>
      </c>
      <c r="I4" s="92" t="s">
        <v>1</v>
      </c>
      <c r="J4" s="92" t="s">
        <v>19</v>
      </c>
      <c r="K4" s="92" t="s">
        <v>45</v>
      </c>
      <c r="L4" s="92" t="s">
        <v>21</v>
      </c>
      <c r="M4" s="92" t="s">
        <v>16</v>
      </c>
      <c r="N4" s="92" t="s">
        <v>3</v>
      </c>
      <c r="O4" s="92" t="s">
        <v>19</v>
      </c>
      <c r="P4" s="92" t="s">
        <v>22</v>
      </c>
      <c r="Q4" s="92" t="s">
        <v>21</v>
      </c>
      <c r="R4" s="92" t="s">
        <v>16</v>
      </c>
      <c r="S4" s="92" t="s">
        <v>3</v>
      </c>
      <c r="T4" s="92" t="s">
        <v>19</v>
      </c>
      <c r="U4" s="92" t="s">
        <v>24</v>
      </c>
      <c r="V4" s="92" t="s">
        <v>43</v>
      </c>
      <c r="W4" s="92" t="s">
        <v>16</v>
      </c>
      <c r="X4" s="92" t="s">
        <v>3</v>
      </c>
      <c r="Y4" s="92" t="s">
        <v>1</v>
      </c>
      <c r="Z4" s="92" t="s">
        <v>19</v>
      </c>
      <c r="AA4" s="92" t="s">
        <v>46</v>
      </c>
      <c r="AB4" s="119"/>
      <c r="AC4" s="92" t="s">
        <v>65</v>
      </c>
      <c r="AD4" s="92" t="s">
        <v>16</v>
      </c>
      <c r="AE4" s="92" t="s">
        <v>3</v>
      </c>
      <c r="AF4" s="92" t="s">
        <v>1</v>
      </c>
      <c r="AG4" s="92" t="s">
        <v>19</v>
      </c>
      <c r="AH4" s="92" t="s">
        <v>64</v>
      </c>
      <c r="AI4" s="119"/>
    </row>
    <row r="5" spans="1:35" ht="13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50">
        <v>10</v>
      </c>
      <c r="L5" s="50">
        <v>12</v>
      </c>
      <c r="M5" s="50">
        <v>13</v>
      </c>
      <c r="N5" s="50">
        <v>14</v>
      </c>
      <c r="O5" s="50">
        <v>15</v>
      </c>
      <c r="P5" s="50">
        <v>16</v>
      </c>
      <c r="Q5" s="50">
        <v>17</v>
      </c>
      <c r="R5" s="50">
        <v>18</v>
      </c>
      <c r="S5" s="50">
        <v>19</v>
      </c>
      <c r="T5" s="50">
        <v>20</v>
      </c>
      <c r="U5" s="50">
        <v>21</v>
      </c>
      <c r="V5" s="50">
        <v>11</v>
      </c>
      <c r="W5" s="50">
        <v>12</v>
      </c>
      <c r="X5" s="50">
        <v>13</v>
      </c>
      <c r="Y5" s="50">
        <v>14</v>
      </c>
      <c r="Z5" s="50">
        <v>16</v>
      </c>
      <c r="AA5" s="50">
        <v>15</v>
      </c>
      <c r="AB5" s="50">
        <v>18</v>
      </c>
      <c r="AC5" s="50">
        <v>16</v>
      </c>
      <c r="AD5" s="50">
        <v>17</v>
      </c>
      <c r="AE5" s="50">
        <v>18</v>
      </c>
      <c r="AF5" s="50">
        <v>19</v>
      </c>
      <c r="AG5" s="103">
        <v>23</v>
      </c>
      <c r="AH5" s="104">
        <v>20</v>
      </c>
      <c r="AI5" s="50">
        <v>21</v>
      </c>
    </row>
    <row r="6" spans="1:35" ht="13.5">
      <c r="A6" s="30" t="s">
        <v>6</v>
      </c>
      <c r="B6" s="36">
        <v>0.14025071531603966</v>
      </c>
      <c r="C6" s="30">
        <v>17989</v>
      </c>
      <c r="D6" s="36">
        <f>'К-т удорожания'!D6</f>
        <v>0.6837873144699539</v>
      </c>
      <c r="E6" s="91">
        <f>D6/$D$14</f>
        <v>1.051980483799929</v>
      </c>
      <c r="F6" s="36">
        <v>0.2159751944950224</v>
      </c>
      <c r="G6" s="30">
        <f>C6</f>
        <v>17989</v>
      </c>
      <c r="H6" s="31">
        <f>'К-т удорожания'!H6</f>
        <v>1.0000152871199066</v>
      </c>
      <c r="I6" s="91">
        <v>1</v>
      </c>
      <c r="J6" s="91">
        <f>'К-т удорожания'!J6</f>
        <v>0.8230589549336603</v>
      </c>
      <c r="K6" s="105">
        <f>(H6*I6)/($H$14*I14)</f>
        <v>0.999795627261245</v>
      </c>
      <c r="L6" s="30">
        <v>0</v>
      </c>
      <c r="M6" s="30">
        <f>G6</f>
        <v>17989</v>
      </c>
      <c r="N6" s="31">
        <f>H6</f>
        <v>1.0000152871199066</v>
      </c>
      <c r="O6" s="91">
        <f>J6</f>
        <v>0.8230589549336603</v>
      </c>
      <c r="P6" s="105">
        <f>(N6*O6)/($N$14*$O$14)</f>
        <v>0.8228907441208837</v>
      </c>
      <c r="Q6" s="30">
        <v>0</v>
      </c>
      <c r="R6" s="30">
        <f>M6</f>
        <v>17989</v>
      </c>
      <c r="S6" s="31">
        <f>N6</f>
        <v>1.0000152871199066</v>
      </c>
      <c r="T6" s="91">
        <f>O6</f>
        <v>0.8230589549336603</v>
      </c>
      <c r="U6" s="105">
        <f>(S6*T6)/($S$14*$T$14)</f>
        <v>0.8228907441208837</v>
      </c>
      <c r="V6" s="30"/>
      <c r="W6" s="30"/>
      <c r="X6" s="31"/>
      <c r="Y6" s="91"/>
      <c r="Z6" s="91">
        <f>'К-т удорожания'!J6</f>
        <v>0.8230589549336603</v>
      </c>
      <c r="AA6" s="105"/>
      <c r="AB6" s="106">
        <f>(B6*E6)+(F6*K6)+(V6*AA6)</f>
        <v>0.3634720704044738</v>
      </c>
      <c r="AC6" s="36">
        <v>0.6437740901889379</v>
      </c>
      <c r="AD6" s="30">
        <f>C6</f>
        <v>17989</v>
      </c>
      <c r="AE6" s="31">
        <f>'К-т удорожания'!H6</f>
        <v>1.0000152871199066</v>
      </c>
      <c r="AF6" s="91">
        <v>1</v>
      </c>
      <c r="AG6" s="91">
        <f>Z6</f>
        <v>0.8230589549336603</v>
      </c>
      <c r="AH6" s="105">
        <f>(AE6*AF6)/($AE14*$AF$14)</f>
        <v>0.999795627261245</v>
      </c>
      <c r="AI6" s="107">
        <f>(B6*E6)+(F6*K6)+(V6*AA6)+(AC6*AH6)</f>
        <v>1.0071145907194605</v>
      </c>
    </row>
    <row r="7" spans="1:35" ht="13.5">
      <c r="A7" s="30" t="s">
        <v>7</v>
      </c>
      <c r="B7" s="36">
        <f>$B$6</f>
        <v>0.14025071531603966</v>
      </c>
      <c r="C7" s="30">
        <v>2364</v>
      </c>
      <c r="D7" s="36">
        <f>'К-т удорожания'!D7</f>
        <v>1.2375846023688661</v>
      </c>
      <c r="E7" s="91">
        <f>D7/$D$14</f>
        <v>1.903976311336717</v>
      </c>
      <c r="F7" s="36">
        <f>$F$6</f>
        <v>0.2159751944950224</v>
      </c>
      <c r="G7" s="30">
        <f>C7</f>
        <v>2364</v>
      </c>
      <c r="H7" s="31">
        <f>'К-т удорожания'!H7</f>
        <v>1.0001400169204737</v>
      </c>
      <c r="I7" s="91">
        <v>1</v>
      </c>
      <c r="J7" s="91">
        <f>'К-т удорожания'!J7</f>
        <v>0.09836198580486931</v>
      </c>
      <c r="K7" s="105">
        <f>(H7*I7)/($H$14*I14)</f>
        <v>0.9999203296641006</v>
      </c>
      <c r="L7" s="30">
        <f>$L$6</f>
        <v>0</v>
      </c>
      <c r="M7" s="30">
        <f aca="true" t="shared" si="0" ref="M7:M13">G7</f>
        <v>2364</v>
      </c>
      <c r="N7" s="31">
        <f aca="true" t="shared" si="1" ref="N7:N14">H7</f>
        <v>1.0001400169204737</v>
      </c>
      <c r="O7" s="91">
        <f aca="true" t="shared" si="2" ref="O7:O14">J7</f>
        <v>0.09836198580486931</v>
      </c>
      <c r="P7" s="105">
        <f aca="true" t="shared" si="3" ref="P7:P14">(N7*O7)/($N$14*$O$14)</f>
        <v>0.0983541492724205</v>
      </c>
      <c r="Q7" s="30">
        <f>$Q$6</f>
        <v>0</v>
      </c>
      <c r="R7" s="30">
        <f aca="true" t="shared" si="4" ref="R7:R14">M7</f>
        <v>2364</v>
      </c>
      <c r="S7" s="31">
        <f aca="true" t="shared" si="5" ref="S7:S14">N7</f>
        <v>1.0001400169204737</v>
      </c>
      <c r="T7" s="91">
        <f aca="true" t="shared" si="6" ref="T7:T14">O7</f>
        <v>0.09836198580486931</v>
      </c>
      <c r="U7" s="105">
        <f aca="true" t="shared" si="7" ref="U7:U13">(S7*T7)/($S$14*$T$14)</f>
        <v>0.0983541492724205</v>
      </c>
      <c r="V7" s="30">
        <f>$V$6</f>
        <v>0</v>
      </c>
      <c r="W7" s="30"/>
      <c r="X7" s="31"/>
      <c r="Y7" s="91"/>
      <c r="Z7" s="91">
        <f>'К-т удорожания'!J7</f>
        <v>0.09836198580486931</v>
      </c>
      <c r="AA7" s="105"/>
      <c r="AB7" s="106">
        <f aca="true" t="shared" si="8" ref="AB7:AB12">(B7*E7)+(F7*K7)+(V7*AA7)</f>
        <v>0.4829920272885002</v>
      </c>
      <c r="AC7" s="36">
        <f>$AC$6</f>
        <v>0.6437740901889379</v>
      </c>
      <c r="AD7" s="30">
        <f aca="true" t="shared" si="9" ref="AD7:AD13">C7</f>
        <v>2364</v>
      </c>
      <c r="AE7" s="31">
        <f>'К-т удорожания'!H7</f>
        <v>1.0001400169204737</v>
      </c>
      <c r="AF7" s="91">
        <v>1</v>
      </c>
      <c r="AG7" s="91">
        <f aca="true" t="shared" si="10" ref="AG7:AG14">Z7</f>
        <v>0.09836198580486931</v>
      </c>
      <c r="AH7" s="105">
        <f>(AE7*AF7)/($AE14*$AF$14*$AG$14)</f>
        <v>0.9999203296641006</v>
      </c>
      <c r="AI7" s="107">
        <f aca="true" t="shared" si="11" ref="AI7:AI13">(B7*E7)+(F7*K7)+(V7*AA7)+(AC7*AH7)</f>
        <v>1.1267148277794294</v>
      </c>
    </row>
    <row r="8" spans="1:35" ht="13.5">
      <c r="A8" s="30" t="s">
        <v>8</v>
      </c>
      <c r="B8" s="36">
        <f aca="true" t="shared" si="12" ref="B8:B14">$B$6</f>
        <v>0.14025071531603966</v>
      </c>
      <c r="C8" s="30">
        <v>1222</v>
      </c>
      <c r="D8" s="36">
        <f>'К-т удорожания'!D8</f>
        <v>1.8334288052373158</v>
      </c>
      <c r="E8" s="91">
        <f aca="true" t="shared" si="13" ref="E8:E13">D8/$D$14</f>
        <v>2.820659700365101</v>
      </c>
      <c r="F8" s="36">
        <f aca="true" t="shared" si="14" ref="F8:F13">$F$6</f>
        <v>0.2159751944950224</v>
      </c>
      <c r="G8" s="30">
        <f aca="true" t="shared" si="15" ref="G8:G13">C8</f>
        <v>1222</v>
      </c>
      <c r="H8" s="31">
        <f>'К-т удорожания'!H8</f>
        <v>1.001</v>
      </c>
      <c r="I8" s="91">
        <v>1</v>
      </c>
      <c r="J8" s="91">
        <f>'К-т удорожания'!J8</f>
        <v>1.4666877455240053</v>
      </c>
      <c r="K8" s="105">
        <f>(H8*I8)/($H$14*I14)</f>
        <v>1.0007801238427527</v>
      </c>
      <c r="L8" s="30">
        <f aca="true" t="shared" si="16" ref="L8:L14">$L$6</f>
        <v>0</v>
      </c>
      <c r="M8" s="30">
        <f t="shared" si="0"/>
        <v>1222</v>
      </c>
      <c r="N8" s="31">
        <f t="shared" si="1"/>
        <v>1.001</v>
      </c>
      <c r="O8" s="91">
        <f t="shared" si="2"/>
        <v>1.4666877455240053</v>
      </c>
      <c r="P8" s="105">
        <f t="shared" si="3"/>
        <v>1.4678319436041618</v>
      </c>
      <c r="Q8" s="30">
        <f aca="true" t="shared" si="17" ref="Q8:Q14">$Q$6</f>
        <v>0</v>
      </c>
      <c r="R8" s="30">
        <f t="shared" si="4"/>
        <v>1222</v>
      </c>
      <c r="S8" s="31">
        <f t="shared" si="5"/>
        <v>1.001</v>
      </c>
      <c r="T8" s="91">
        <f t="shared" si="6"/>
        <v>1.4666877455240053</v>
      </c>
      <c r="U8" s="105">
        <f t="shared" si="7"/>
        <v>1.4678319436041618</v>
      </c>
      <c r="V8" s="30">
        <f aca="true" t="shared" si="18" ref="V8:V13">$V$6</f>
        <v>0</v>
      </c>
      <c r="W8" s="30"/>
      <c r="X8" s="31"/>
      <c r="Y8" s="91"/>
      <c r="Z8" s="91">
        <f>'К-т удорожания'!J8</f>
        <v>1.4666877455240053</v>
      </c>
      <c r="AA8" s="105"/>
      <c r="AB8" s="106">
        <f t="shared" si="8"/>
        <v>0.6117432225330226</v>
      </c>
      <c r="AC8" s="36">
        <f aca="true" t="shared" si="19" ref="AC8:AC14">$AC$6</f>
        <v>0.6437740901889379</v>
      </c>
      <c r="AD8" s="30">
        <f t="shared" si="9"/>
        <v>1222</v>
      </c>
      <c r="AE8" s="31">
        <f>'К-т удорожания'!H8</f>
        <v>1.001</v>
      </c>
      <c r="AF8" s="91">
        <v>1</v>
      </c>
      <c r="AG8" s="91">
        <f t="shared" si="10"/>
        <v>1.4666877455240053</v>
      </c>
      <c r="AH8" s="105">
        <f aca="true" t="shared" si="20" ref="AH8:AH14">(AE8*AF8)/($H$14*$I$14*$J$14)</f>
        <v>1.0007801238427527</v>
      </c>
      <c r="AI8" s="107">
        <f t="shared" si="11"/>
        <v>1.2560195362390634</v>
      </c>
    </row>
    <row r="9" spans="1:35" ht="13.5">
      <c r="A9" s="30" t="s">
        <v>9</v>
      </c>
      <c r="B9" s="36">
        <f t="shared" si="12"/>
        <v>0.14025071531603966</v>
      </c>
      <c r="C9" s="30">
        <v>1535</v>
      </c>
      <c r="D9" s="36">
        <f>'К-т удорожания'!D9</f>
        <v>1.5819218241042345</v>
      </c>
      <c r="E9" s="91">
        <f t="shared" si="13"/>
        <v>2.4337258832372837</v>
      </c>
      <c r="F9" s="36">
        <f t="shared" si="14"/>
        <v>0.2159751944950224</v>
      </c>
      <c r="G9" s="30">
        <f t="shared" si="15"/>
        <v>1535</v>
      </c>
      <c r="H9" s="31">
        <f>'К-т удорожания'!H9</f>
        <v>1.000672312703583</v>
      </c>
      <c r="I9" s="91">
        <v>1</v>
      </c>
      <c r="J9" s="91">
        <f>'К-т удорожания'!J9</f>
        <v>0.35232764359434315</v>
      </c>
      <c r="K9" s="105">
        <f>(H9*I9)/($H$14*I14)</f>
        <v>1.000452508524981</v>
      </c>
      <c r="L9" s="30">
        <f t="shared" si="16"/>
        <v>0</v>
      </c>
      <c r="M9" s="30">
        <f t="shared" si="0"/>
        <v>1535</v>
      </c>
      <c r="N9" s="31">
        <f t="shared" si="1"/>
        <v>1.000672312703583</v>
      </c>
      <c r="O9" s="91">
        <f t="shared" si="2"/>
        <v>0.35232764359434315</v>
      </c>
      <c r="P9" s="105">
        <f t="shared" si="3"/>
        <v>0.352487074856656</v>
      </c>
      <c r="Q9" s="30">
        <f t="shared" si="17"/>
        <v>0</v>
      </c>
      <c r="R9" s="30">
        <f t="shared" si="4"/>
        <v>1535</v>
      </c>
      <c r="S9" s="31">
        <f t="shared" si="5"/>
        <v>1.000672312703583</v>
      </c>
      <c r="T9" s="91">
        <f t="shared" si="6"/>
        <v>0.35232764359434315</v>
      </c>
      <c r="U9" s="105">
        <f t="shared" si="7"/>
        <v>0.352487074856656</v>
      </c>
      <c r="V9" s="30">
        <f t="shared" si="18"/>
        <v>0</v>
      </c>
      <c r="W9" s="30"/>
      <c r="X9" s="31"/>
      <c r="Y9" s="91"/>
      <c r="Z9" s="91">
        <f>'К-т удорожания'!J9</f>
        <v>0.35232764359434315</v>
      </c>
      <c r="AA9" s="105"/>
      <c r="AB9" s="106">
        <f t="shared" si="8"/>
        <v>0.5574047211189053</v>
      </c>
      <c r="AC9" s="36">
        <f t="shared" si="19"/>
        <v>0.6437740901889379</v>
      </c>
      <c r="AD9" s="30">
        <f t="shared" si="9"/>
        <v>1535</v>
      </c>
      <c r="AE9" s="31">
        <f>'К-т удорожания'!H9</f>
        <v>1.000672312703583</v>
      </c>
      <c r="AF9" s="91">
        <v>1</v>
      </c>
      <c r="AG9" s="91">
        <f t="shared" si="10"/>
        <v>0.35232764359434315</v>
      </c>
      <c r="AH9" s="105">
        <f t="shared" si="20"/>
        <v>1.000452508524981</v>
      </c>
      <c r="AI9" s="107">
        <f>(B9*E9)+(F9*K9)+(V9*AA9)+(AC9*AH9)</f>
        <v>1.2014701245718156</v>
      </c>
    </row>
    <row r="10" spans="1:35" ht="13.5">
      <c r="A10" s="30" t="s">
        <v>10</v>
      </c>
      <c r="B10" s="36">
        <f t="shared" si="12"/>
        <v>0.14025071531603966</v>
      </c>
      <c r="C10" s="30">
        <v>3171</v>
      </c>
      <c r="D10" s="36">
        <f>'К-т удорожания'!D10</f>
        <v>1.0753232418795333</v>
      </c>
      <c r="E10" s="91">
        <f t="shared" si="13"/>
        <v>1.6543434490454358</v>
      </c>
      <c r="F10" s="36">
        <f t="shared" si="14"/>
        <v>0.2159751944950224</v>
      </c>
      <c r="G10" s="30">
        <f t="shared" si="15"/>
        <v>3171</v>
      </c>
      <c r="H10" s="31">
        <f>'К-т удорожания'!H10</f>
        <v>1.0003311258278145</v>
      </c>
      <c r="I10" s="91">
        <v>1</v>
      </c>
      <c r="J10" s="91">
        <f>'К-т удорожания'!J10</f>
        <v>1.8826722268932807</v>
      </c>
      <c r="K10" s="105">
        <f>(H10*I10)/($H$14*I14)</f>
        <v>1.0001113965931274</v>
      </c>
      <c r="L10" s="30">
        <f t="shared" si="16"/>
        <v>0</v>
      </c>
      <c r="M10" s="30">
        <f t="shared" si="0"/>
        <v>3171</v>
      </c>
      <c r="N10" s="31">
        <f t="shared" si="1"/>
        <v>1.0003311258278145</v>
      </c>
      <c r="O10" s="91">
        <f t="shared" si="2"/>
        <v>1.8826722268932807</v>
      </c>
      <c r="P10" s="105">
        <f t="shared" si="3"/>
        <v>1.8828819501653324</v>
      </c>
      <c r="Q10" s="30">
        <f t="shared" si="17"/>
        <v>0</v>
      </c>
      <c r="R10" s="30">
        <f t="shared" si="4"/>
        <v>3171</v>
      </c>
      <c r="S10" s="31">
        <f t="shared" si="5"/>
        <v>1.0003311258278145</v>
      </c>
      <c r="T10" s="91">
        <f t="shared" si="6"/>
        <v>1.8826722268932807</v>
      </c>
      <c r="U10" s="105">
        <f t="shared" si="7"/>
        <v>1.8828819501653324</v>
      </c>
      <c r="V10" s="30">
        <f t="shared" si="18"/>
        <v>0</v>
      </c>
      <c r="W10" s="30"/>
      <c r="X10" s="31"/>
      <c r="Y10" s="91"/>
      <c r="Z10" s="91">
        <f>'К-т удорожания'!J10</f>
        <v>1.8826722268932807</v>
      </c>
      <c r="AA10" s="105"/>
      <c r="AB10" s="106">
        <f t="shared" si="8"/>
        <v>0.44802210550291577</v>
      </c>
      <c r="AC10" s="36">
        <f t="shared" si="19"/>
        <v>0.6437740901889379</v>
      </c>
      <c r="AD10" s="30">
        <f t="shared" si="9"/>
        <v>3171</v>
      </c>
      <c r="AE10" s="31">
        <f>'К-т удорожания'!H10</f>
        <v>1.0003311258278145</v>
      </c>
      <c r="AF10" s="91">
        <v>1</v>
      </c>
      <c r="AG10" s="91">
        <f t="shared" si="10"/>
        <v>1.8826722268932807</v>
      </c>
      <c r="AH10" s="105">
        <f t="shared" si="20"/>
        <v>1.0001113965931274</v>
      </c>
      <c r="AI10" s="107">
        <f t="shared" si="11"/>
        <v>1.0918679099322444</v>
      </c>
    </row>
    <row r="11" spans="1:35" ht="13.5">
      <c r="A11" s="30" t="s">
        <v>11</v>
      </c>
      <c r="B11" s="36">
        <f t="shared" si="12"/>
        <v>0.14025071531603966</v>
      </c>
      <c r="C11" s="30">
        <v>426</v>
      </c>
      <c r="D11" s="36">
        <f>'К-т удорожания'!D11</f>
        <v>4.138145539906103</v>
      </c>
      <c r="E11" s="91">
        <f t="shared" si="13"/>
        <v>6.366377753701697</v>
      </c>
      <c r="F11" s="36">
        <f t="shared" si="14"/>
        <v>0.2159751944950224</v>
      </c>
      <c r="G11" s="30">
        <f t="shared" si="15"/>
        <v>426</v>
      </c>
      <c r="H11" s="31">
        <f>'К-т удорожания'!H11</f>
        <v>1.001</v>
      </c>
      <c r="I11" s="91">
        <v>1</v>
      </c>
      <c r="J11" s="91">
        <f>'К-т удорожания'!J11</f>
        <v>9.401936406094743</v>
      </c>
      <c r="K11" s="105">
        <f>(H11*I11)/($H$14*I14)</f>
        <v>1.0007801238427527</v>
      </c>
      <c r="L11" s="30">
        <f t="shared" si="16"/>
        <v>0</v>
      </c>
      <c r="M11" s="30">
        <f t="shared" si="0"/>
        <v>426</v>
      </c>
      <c r="N11" s="31">
        <f t="shared" si="1"/>
        <v>1.001</v>
      </c>
      <c r="O11" s="91">
        <f t="shared" si="2"/>
        <v>9.401936406094743</v>
      </c>
      <c r="P11" s="105">
        <f t="shared" si="3"/>
        <v>9.409271080853184</v>
      </c>
      <c r="Q11" s="30">
        <f t="shared" si="17"/>
        <v>0</v>
      </c>
      <c r="R11" s="30">
        <f t="shared" si="4"/>
        <v>426</v>
      </c>
      <c r="S11" s="31">
        <f t="shared" si="5"/>
        <v>1.001</v>
      </c>
      <c r="T11" s="91">
        <f t="shared" si="6"/>
        <v>9.401936406094743</v>
      </c>
      <c r="U11" s="105">
        <f t="shared" si="7"/>
        <v>9.409271080853184</v>
      </c>
      <c r="V11" s="30">
        <f t="shared" si="18"/>
        <v>0</v>
      </c>
      <c r="W11" s="30"/>
      <c r="X11" s="31"/>
      <c r="Y11" s="91"/>
      <c r="Z11" s="91">
        <f>'К-т удорожания'!J11</f>
        <v>9.401936406094743</v>
      </c>
      <c r="AA11" s="105"/>
      <c r="AB11" s="106">
        <f t="shared" si="8"/>
        <v>1.1090327158224758</v>
      </c>
      <c r="AC11" s="36">
        <f t="shared" si="19"/>
        <v>0.6437740901889379</v>
      </c>
      <c r="AD11" s="30">
        <f t="shared" si="9"/>
        <v>426</v>
      </c>
      <c r="AE11" s="31">
        <f>'К-т удорожания'!H11</f>
        <v>1.001</v>
      </c>
      <c r="AF11" s="91">
        <v>1</v>
      </c>
      <c r="AG11" s="91">
        <f t="shared" si="10"/>
        <v>9.401936406094743</v>
      </c>
      <c r="AH11" s="105">
        <f t="shared" si="20"/>
        <v>1.0007801238427527</v>
      </c>
      <c r="AI11" s="107">
        <f t="shared" si="11"/>
        <v>1.7533090295285165</v>
      </c>
    </row>
    <row r="12" spans="1:35" ht="13.5">
      <c r="A12" s="30" t="s">
        <v>12</v>
      </c>
      <c r="B12" s="36">
        <f t="shared" si="12"/>
        <v>0.14025071531603966</v>
      </c>
      <c r="C12" s="30">
        <v>1956</v>
      </c>
      <c r="D12" s="36">
        <f>'К-т удорожания'!D12</f>
        <v>1.370577709611452</v>
      </c>
      <c r="E12" s="91">
        <f t="shared" si="13"/>
        <v>2.108581091709926</v>
      </c>
      <c r="F12" s="36">
        <f t="shared" si="14"/>
        <v>0.2159751944950224</v>
      </c>
      <c r="G12" s="30">
        <f t="shared" si="15"/>
        <v>1956</v>
      </c>
      <c r="H12" s="31">
        <f>'К-т удорожания'!H12</f>
        <v>1.000411554192229</v>
      </c>
      <c r="I12" s="91">
        <v>1</v>
      </c>
      <c r="J12" s="91">
        <f>'К-т удорожания'!J12</f>
        <v>0.32190887158322057</v>
      </c>
      <c r="K12" s="105">
        <f>(H12*I12)/($H$14*I14)</f>
        <v>1.0001918072909288</v>
      </c>
      <c r="L12" s="30">
        <f t="shared" si="16"/>
        <v>0</v>
      </c>
      <c r="M12" s="30">
        <f t="shared" si="0"/>
        <v>1956</v>
      </c>
      <c r="N12" s="31">
        <f t="shared" si="1"/>
        <v>1.000411554192229</v>
      </c>
      <c r="O12" s="91">
        <f t="shared" si="2"/>
        <v>0.32190887158322057</v>
      </c>
      <c r="P12" s="105">
        <f t="shared" si="3"/>
        <v>0.3219706160518049</v>
      </c>
      <c r="Q12" s="30">
        <f t="shared" si="17"/>
        <v>0</v>
      </c>
      <c r="R12" s="30">
        <f t="shared" si="4"/>
        <v>1956</v>
      </c>
      <c r="S12" s="31">
        <f t="shared" si="5"/>
        <v>1.000411554192229</v>
      </c>
      <c r="T12" s="91">
        <f t="shared" si="6"/>
        <v>0.32190887158322057</v>
      </c>
      <c r="U12" s="105">
        <f t="shared" si="7"/>
        <v>0.3219706160518049</v>
      </c>
      <c r="V12" s="30">
        <f t="shared" si="18"/>
        <v>0</v>
      </c>
      <c r="W12" s="30"/>
      <c r="X12" s="31"/>
      <c r="Y12" s="91"/>
      <c r="Z12" s="91">
        <f>'К-т удорожания'!J12</f>
        <v>0.32190887158322057</v>
      </c>
      <c r="AA12" s="105"/>
      <c r="AB12" s="106">
        <f t="shared" si="8"/>
        <v>0.5117466265261792</v>
      </c>
      <c r="AC12" s="36">
        <f t="shared" si="19"/>
        <v>0.6437740901889379</v>
      </c>
      <c r="AD12" s="30">
        <f t="shared" si="9"/>
        <v>1956</v>
      </c>
      <c r="AE12" s="31">
        <f>'К-т удорожания'!H12</f>
        <v>1.000411554192229</v>
      </c>
      <c r="AF12" s="91">
        <v>1</v>
      </c>
      <c r="AG12" s="91">
        <f t="shared" si="10"/>
        <v>0.32190887158322057</v>
      </c>
      <c r="AH12" s="105">
        <f t="shared" si="20"/>
        <v>1.0001918072909288</v>
      </c>
      <c r="AI12" s="107">
        <f t="shared" si="11"/>
        <v>1.1556441972793263</v>
      </c>
    </row>
    <row r="13" spans="1:35" ht="13.5">
      <c r="A13" s="30" t="s">
        <v>13</v>
      </c>
      <c r="B13" s="36">
        <f t="shared" si="12"/>
        <v>0.14025071531603966</v>
      </c>
      <c r="C13" s="30">
        <v>1482</v>
      </c>
      <c r="D13" s="36">
        <f>'К-т удорожания'!D13</f>
        <v>1.6170377867746288</v>
      </c>
      <c r="E13" s="91">
        <f t="shared" si="13"/>
        <v>2.4877504411917366</v>
      </c>
      <c r="F13" s="36">
        <f t="shared" si="14"/>
        <v>0.2159751944950224</v>
      </c>
      <c r="G13" s="30">
        <f t="shared" si="15"/>
        <v>1482</v>
      </c>
      <c r="H13" s="31">
        <f>'К-т удорожания'!H13</f>
        <v>1.001</v>
      </c>
      <c r="I13" s="91">
        <v>1</v>
      </c>
      <c r="J13" s="91">
        <f>'К-т удорожания'!J13</f>
        <v>1.4632368920487815</v>
      </c>
      <c r="K13" s="105">
        <f>(H13*I13)/($H$14*I14)</f>
        <v>1.0007801238427527</v>
      </c>
      <c r="L13" s="30">
        <f t="shared" si="16"/>
        <v>0</v>
      </c>
      <c r="M13" s="30">
        <f t="shared" si="0"/>
        <v>1482</v>
      </c>
      <c r="N13" s="31">
        <f t="shared" si="1"/>
        <v>1.001</v>
      </c>
      <c r="O13" s="91">
        <f t="shared" si="2"/>
        <v>1.4632368920487815</v>
      </c>
      <c r="P13" s="105">
        <f t="shared" si="3"/>
        <v>1.4643783980358642</v>
      </c>
      <c r="Q13" s="30">
        <f t="shared" si="17"/>
        <v>0</v>
      </c>
      <c r="R13" s="30">
        <f t="shared" si="4"/>
        <v>1482</v>
      </c>
      <c r="S13" s="31">
        <f t="shared" si="5"/>
        <v>1.001</v>
      </c>
      <c r="T13" s="91">
        <f t="shared" si="6"/>
        <v>1.4632368920487815</v>
      </c>
      <c r="U13" s="105">
        <f t="shared" si="7"/>
        <v>1.4643783980358642</v>
      </c>
      <c r="V13" s="30">
        <f t="shared" si="18"/>
        <v>0</v>
      </c>
      <c r="W13" s="30"/>
      <c r="X13" s="31"/>
      <c r="Y13" s="91"/>
      <c r="Z13" s="91">
        <f>'К-т удорожания'!J13</f>
        <v>1.4632368920487815</v>
      </c>
      <c r="AA13" s="105"/>
      <c r="AB13" s="106">
        <f>(B13*E13)+(F13*K13)+(V13*AA13)</f>
        <v>0.5650524607986255</v>
      </c>
      <c r="AC13" s="36">
        <f t="shared" si="19"/>
        <v>0.6437740901889379</v>
      </c>
      <c r="AD13" s="30">
        <f t="shared" si="9"/>
        <v>1482</v>
      </c>
      <c r="AE13" s="31">
        <f>'К-т удорожания'!H13</f>
        <v>1.001</v>
      </c>
      <c r="AF13" s="91">
        <v>1</v>
      </c>
      <c r="AG13" s="91">
        <f t="shared" si="10"/>
        <v>1.4632368920487815</v>
      </c>
      <c r="AH13" s="105">
        <f t="shared" si="20"/>
        <v>1.0007801238427527</v>
      </c>
      <c r="AI13" s="107">
        <f t="shared" si="11"/>
        <v>1.2093287745046664</v>
      </c>
    </row>
    <row r="14" spans="1:35" ht="13.5">
      <c r="A14" s="100" t="s">
        <v>14</v>
      </c>
      <c r="B14" s="106">
        <f t="shared" si="12"/>
        <v>0.14025071531603966</v>
      </c>
      <c r="C14" s="49">
        <f>SUM(C6:C13)</f>
        <v>30145</v>
      </c>
      <c r="D14" s="106">
        <f>0.65</f>
        <v>0.65</v>
      </c>
      <c r="E14" s="101">
        <f>D14/$D$14</f>
        <v>1</v>
      </c>
      <c r="F14" s="106">
        <f>$F$6</f>
        <v>0.2159751944950224</v>
      </c>
      <c r="G14" s="49">
        <f>SUM(G6:G13)</f>
        <v>30145</v>
      </c>
      <c r="H14" s="49">
        <f>'К-т удорожания'!H14</f>
        <v>1.0002197047603252</v>
      </c>
      <c r="I14" s="89">
        <v>1</v>
      </c>
      <c r="J14" s="108">
        <f>'К-т удорожания'!J14</f>
        <v>1</v>
      </c>
      <c r="K14" s="108">
        <f>(H14*I14)/($H$14*$I$14)</f>
        <v>1</v>
      </c>
      <c r="L14" s="100">
        <f t="shared" si="16"/>
        <v>0</v>
      </c>
      <c r="M14" s="100">
        <f>G14</f>
        <v>30145</v>
      </c>
      <c r="N14" s="49">
        <f t="shared" si="1"/>
        <v>1.0002197047603252</v>
      </c>
      <c r="O14" s="101">
        <f t="shared" si="2"/>
        <v>1</v>
      </c>
      <c r="P14" s="101">
        <f t="shared" si="3"/>
        <v>1</v>
      </c>
      <c r="Q14" s="100">
        <f t="shared" si="17"/>
        <v>0</v>
      </c>
      <c r="R14" s="100">
        <f t="shared" si="4"/>
        <v>30145</v>
      </c>
      <c r="S14" s="108">
        <f t="shared" si="5"/>
        <v>1.0002197047603252</v>
      </c>
      <c r="T14" s="101">
        <f t="shared" si="6"/>
        <v>1</v>
      </c>
      <c r="U14" s="101">
        <f>(S14*T14)/($S$14*$T$14)</f>
        <v>1</v>
      </c>
      <c r="V14" s="100">
        <f>$V$6</f>
        <v>0</v>
      </c>
      <c r="W14" s="49"/>
      <c r="X14" s="49"/>
      <c r="Y14" s="89"/>
      <c r="Z14" s="108">
        <f>'К-т удорожания'!J14</f>
        <v>1</v>
      </c>
      <c r="AA14" s="108">
        <f>(X14*Y14)/($H$14*$I$14)</f>
        <v>0</v>
      </c>
      <c r="AB14" s="106">
        <f>(B14*E14)+(F14*K14)+(V14*AA14)</f>
        <v>0.35622590981106206</v>
      </c>
      <c r="AC14" s="106">
        <f t="shared" si="19"/>
        <v>0.6437740901889379</v>
      </c>
      <c r="AD14" s="49">
        <f>SUM(AD6:AD13)</f>
        <v>30145</v>
      </c>
      <c r="AE14" s="49">
        <f>'К-т удорожания'!H14</f>
        <v>1.0002197047603252</v>
      </c>
      <c r="AF14" s="89">
        <v>1</v>
      </c>
      <c r="AG14" s="91">
        <f t="shared" si="10"/>
        <v>1</v>
      </c>
      <c r="AH14" s="105">
        <f t="shared" si="20"/>
        <v>1</v>
      </c>
      <c r="AI14" s="107">
        <f>(B14*E14)+(F14*K14)+(V14*AA14)+(AC14*AH14)</f>
        <v>1</v>
      </c>
    </row>
    <row r="15" spans="9:27" ht="13.5" hidden="1">
      <c r="I15" s="1">
        <v>1</v>
      </c>
      <c r="J15" s="1">
        <v>1</v>
      </c>
      <c r="K15" s="1">
        <v>1</v>
      </c>
      <c r="V15" s="4">
        <f>$V$6</f>
        <v>0</v>
      </c>
      <c r="Y15" s="8">
        <f>'К-т удорожания'!D15</f>
        <v>1</v>
      </c>
      <c r="Z15" s="1">
        <v>1</v>
      </c>
      <c r="AA15" s="1">
        <v>1</v>
      </c>
    </row>
    <row r="22" ht="13.5">
      <c r="D22" s="1" t="s">
        <v>91</v>
      </c>
    </row>
  </sheetData>
  <sheetProtection/>
  <mergeCells count="10">
    <mergeCell ref="AD3:AH3"/>
    <mergeCell ref="AI3:AI4"/>
    <mergeCell ref="AB3:AB4"/>
    <mergeCell ref="A1:K1"/>
    <mergeCell ref="B3:E3"/>
    <mergeCell ref="A3:A4"/>
    <mergeCell ref="F3:K3"/>
    <mergeCell ref="L3:P3"/>
    <mergeCell ref="Q3:U3"/>
    <mergeCell ref="V3:A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D38"/>
  <sheetViews>
    <sheetView zoomScalePageLayoutView="0" workbookViewId="0" topLeftCell="A10">
      <selection activeCell="B14" sqref="B14:C14"/>
    </sheetView>
  </sheetViews>
  <sheetFormatPr defaultColWidth="9.140625" defaultRowHeight="15"/>
  <cols>
    <col min="1" max="1" width="25.28125" style="1" bestFit="1" customWidth="1"/>
    <col min="2" max="2" width="14.7109375" style="1" customWidth="1"/>
    <col min="3" max="3" width="17.7109375" style="1" customWidth="1"/>
    <col min="4" max="4" width="15.140625" style="1" customWidth="1"/>
    <col min="5" max="5" width="11.28125" style="1" customWidth="1"/>
    <col min="6" max="6" width="11.8515625" style="1" customWidth="1"/>
    <col min="7" max="7" width="11.421875" style="1" customWidth="1"/>
    <col min="8" max="8" width="19.00390625" style="1" customWidth="1"/>
    <col min="9" max="9" width="0.13671875" style="1" hidden="1" customWidth="1"/>
    <col min="10" max="10" width="11.57421875" style="1" hidden="1" customWidth="1"/>
    <col min="11" max="11" width="10.421875" style="1" hidden="1" customWidth="1"/>
    <col min="12" max="12" width="9.140625" style="1" hidden="1" customWidth="1"/>
    <col min="13" max="13" width="11.421875" style="1" hidden="1" customWidth="1"/>
    <col min="14" max="14" width="14.421875" style="1" hidden="1" customWidth="1"/>
    <col min="15" max="15" width="11.7109375" style="1" hidden="1" customWidth="1"/>
    <col min="16" max="16" width="10.28125" style="1" hidden="1" customWidth="1"/>
    <col min="17" max="17" width="19.7109375" style="1" hidden="1" customWidth="1"/>
    <col min="18" max="18" width="0.2890625" style="1" hidden="1" customWidth="1"/>
    <col min="19" max="20" width="9.140625" style="1" hidden="1" customWidth="1"/>
    <col min="21" max="21" width="10.7109375" style="1" hidden="1" customWidth="1"/>
    <col min="22" max="23" width="9.140625" style="1" hidden="1" customWidth="1"/>
    <col min="24" max="25" width="11.00390625" style="1" hidden="1" customWidth="1"/>
    <col min="26" max="26" width="12.140625" style="1" hidden="1" customWidth="1"/>
    <col min="27" max="28" width="9.140625" style="1" hidden="1" customWidth="1"/>
    <col min="29" max="29" width="10.28125" style="1" hidden="1" customWidth="1"/>
    <col min="30" max="33" width="9.140625" style="1" hidden="1" customWidth="1"/>
    <col min="34" max="34" width="11.8515625" style="1" hidden="1" customWidth="1"/>
    <col min="35" max="35" width="10.7109375" style="1" hidden="1" customWidth="1"/>
    <col min="36" max="36" width="13.8515625" style="1" hidden="1" customWidth="1"/>
    <col min="37" max="37" width="9.8515625" style="1" hidden="1" customWidth="1"/>
    <col min="38" max="47" width="10.7109375" style="1" hidden="1" customWidth="1"/>
    <col min="48" max="48" width="12.7109375" style="1" hidden="1" customWidth="1"/>
    <col min="49" max="49" width="10.7109375" style="1" hidden="1" customWidth="1"/>
    <col min="50" max="50" width="10.28125" style="1" hidden="1" customWidth="1"/>
    <col min="51" max="52" width="9.140625" style="1" hidden="1" customWidth="1"/>
    <col min="53" max="53" width="10.8515625" style="1" hidden="1" customWidth="1"/>
    <col min="54" max="54" width="8.8515625" style="1" hidden="1" customWidth="1"/>
    <col min="55" max="55" width="0.13671875" style="1" hidden="1" customWidth="1"/>
    <col min="56" max="57" width="9.140625" style="1" hidden="1" customWidth="1"/>
    <col min="58" max="58" width="9.28125" style="1" hidden="1" customWidth="1"/>
    <col min="59" max="59" width="12.8515625" style="1" hidden="1" customWidth="1"/>
    <col min="60" max="60" width="9.28125" style="1" hidden="1" customWidth="1"/>
    <col min="61" max="62" width="9.140625" style="1" hidden="1" customWidth="1"/>
    <col min="63" max="63" width="14.57421875" style="1" hidden="1" customWidth="1"/>
    <col min="64" max="64" width="9.57421875" style="1" hidden="1" customWidth="1"/>
    <col min="65" max="65" width="11.7109375" style="1" hidden="1" customWidth="1"/>
    <col min="66" max="67" width="18.8515625" style="1" hidden="1" customWidth="1"/>
    <col min="68" max="71" width="9.140625" style="1" hidden="1" customWidth="1"/>
    <col min="72" max="72" width="0.13671875" style="1" hidden="1" customWidth="1"/>
    <col min="73" max="73" width="13.8515625" style="1" hidden="1" customWidth="1"/>
    <col min="74" max="74" width="14.57421875" style="1" hidden="1" customWidth="1"/>
    <col min="75" max="75" width="13.28125" style="1" hidden="1" customWidth="1"/>
    <col min="76" max="76" width="15.7109375" style="1" hidden="1" customWidth="1"/>
    <col min="77" max="77" width="9.28125" style="1" hidden="1" customWidth="1"/>
    <col min="78" max="78" width="0" style="1" hidden="1" customWidth="1"/>
    <col min="79" max="79" width="10.8515625" style="1" hidden="1" customWidth="1"/>
    <col min="80" max="80" width="11.00390625" style="1" hidden="1" customWidth="1"/>
    <col min="81" max="81" width="10.421875" style="1" hidden="1" customWidth="1"/>
    <col min="82" max="82" width="10.28125" style="1" hidden="1" customWidth="1"/>
    <col min="83" max="85" width="0" style="1" hidden="1" customWidth="1"/>
    <col min="86" max="16384" width="9.140625" style="1" customWidth="1"/>
  </cols>
  <sheetData>
    <row r="1" spans="1:11" ht="13.5">
      <c r="A1" s="120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37" ht="13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AK2" s="1" t="s">
        <v>28</v>
      </c>
    </row>
    <row r="3" spans="1:81" ht="15" customHeight="1">
      <c r="A3" s="123" t="s">
        <v>0</v>
      </c>
      <c r="B3" s="137" t="s">
        <v>94</v>
      </c>
      <c r="C3" s="139" t="s">
        <v>98</v>
      </c>
      <c r="D3" s="137" t="s">
        <v>25</v>
      </c>
      <c r="E3" s="141" t="s">
        <v>40</v>
      </c>
      <c r="F3" s="141" t="s">
        <v>35</v>
      </c>
      <c r="G3" s="141" t="s">
        <v>36</v>
      </c>
      <c r="H3" s="135" t="s">
        <v>102</v>
      </c>
      <c r="I3" s="98"/>
      <c r="J3" s="141" t="s">
        <v>87</v>
      </c>
      <c r="K3" s="141" t="s">
        <v>26</v>
      </c>
      <c r="N3" s="136" t="s">
        <v>88</v>
      </c>
      <c r="O3" s="136" t="s">
        <v>57</v>
      </c>
      <c r="P3" s="129" t="s">
        <v>75</v>
      </c>
      <c r="Q3" s="129" t="s">
        <v>76</v>
      </c>
      <c r="R3" s="129" t="s">
        <v>37</v>
      </c>
      <c r="S3" s="129" t="s">
        <v>39</v>
      </c>
      <c r="T3" s="129" t="s">
        <v>49</v>
      </c>
      <c r="U3" s="129" t="s">
        <v>77</v>
      </c>
      <c r="V3" s="12"/>
      <c r="W3" s="129" t="s">
        <v>38</v>
      </c>
      <c r="X3" s="15"/>
      <c r="Y3" s="15"/>
      <c r="Z3" s="15"/>
      <c r="AA3" s="15"/>
      <c r="AB3" s="15"/>
      <c r="AC3" s="136" t="s">
        <v>77</v>
      </c>
      <c r="AD3" s="15"/>
      <c r="AH3" s="131" t="s">
        <v>78</v>
      </c>
      <c r="AI3" s="82"/>
      <c r="AJ3" s="131" t="s">
        <v>79</v>
      </c>
      <c r="AK3" s="136" t="s">
        <v>59</v>
      </c>
      <c r="AL3" s="131" t="s">
        <v>80</v>
      </c>
      <c r="AM3" s="131"/>
      <c r="AN3" s="23"/>
      <c r="AO3" s="131" t="s">
        <v>54</v>
      </c>
      <c r="AP3" s="28"/>
      <c r="AQ3" s="131" t="s">
        <v>52</v>
      </c>
      <c r="AR3" s="131" t="s">
        <v>56</v>
      </c>
      <c r="AS3" s="21"/>
      <c r="AT3" s="23"/>
      <c r="AU3" s="129" t="s">
        <v>55</v>
      </c>
      <c r="AV3" s="129" t="s">
        <v>44</v>
      </c>
      <c r="AW3" s="131" t="s">
        <v>47</v>
      </c>
      <c r="AX3" s="129" t="s">
        <v>48</v>
      </c>
      <c r="BA3" s="133" t="s">
        <v>50</v>
      </c>
      <c r="BB3" s="134" t="s">
        <v>51</v>
      </c>
      <c r="BK3" s="4"/>
      <c r="BN3" s="34"/>
      <c r="BO3" s="34"/>
      <c r="BU3" s="4"/>
      <c r="BV3" s="51"/>
      <c r="BW3" s="4"/>
      <c r="BX3" s="4"/>
      <c r="BY3" s="4"/>
      <c r="CA3" s="4"/>
      <c r="CB3" s="4"/>
      <c r="CC3" s="4"/>
    </row>
    <row r="4" spans="1:81" ht="179.25" customHeight="1">
      <c r="A4" s="123"/>
      <c r="B4" s="138"/>
      <c r="C4" s="140"/>
      <c r="D4" s="138"/>
      <c r="E4" s="141"/>
      <c r="F4" s="141"/>
      <c r="G4" s="141"/>
      <c r="H4" s="135"/>
      <c r="I4" s="98"/>
      <c r="J4" s="141"/>
      <c r="K4" s="141"/>
      <c r="N4" s="136"/>
      <c r="O4" s="136"/>
      <c r="P4" s="130"/>
      <c r="Q4" s="130"/>
      <c r="R4" s="130"/>
      <c r="S4" s="130"/>
      <c r="T4" s="130"/>
      <c r="U4" s="130"/>
      <c r="V4" s="13"/>
      <c r="W4" s="130"/>
      <c r="X4" s="15"/>
      <c r="Y4" s="15"/>
      <c r="Z4" s="15"/>
      <c r="AA4" s="15"/>
      <c r="AB4" s="15"/>
      <c r="AC4" s="136"/>
      <c r="AD4" s="15"/>
      <c r="AH4" s="132"/>
      <c r="AI4" s="83"/>
      <c r="AJ4" s="132"/>
      <c r="AK4" s="136"/>
      <c r="AL4" s="132"/>
      <c r="AM4" s="132"/>
      <c r="AN4" s="24"/>
      <c r="AO4" s="132"/>
      <c r="AP4" s="29"/>
      <c r="AQ4" s="132"/>
      <c r="AR4" s="132"/>
      <c r="AS4" s="22"/>
      <c r="AT4" s="24"/>
      <c r="AU4" s="130"/>
      <c r="AV4" s="130"/>
      <c r="AW4" s="132"/>
      <c r="AX4" s="130"/>
      <c r="BA4" s="133"/>
      <c r="BB4" s="134"/>
      <c r="BK4" s="4" t="s">
        <v>60</v>
      </c>
      <c r="BL4" s="1" t="s">
        <v>61</v>
      </c>
      <c r="BN4" s="35" t="s">
        <v>62</v>
      </c>
      <c r="BO4" s="35" t="s">
        <v>63</v>
      </c>
      <c r="BU4" s="4" t="s">
        <v>71</v>
      </c>
      <c r="BV4" s="51" t="s">
        <v>71</v>
      </c>
      <c r="BW4" s="4" t="s">
        <v>70</v>
      </c>
      <c r="BX4" s="4" t="s">
        <v>89</v>
      </c>
      <c r="BY4" s="4" t="s">
        <v>72</v>
      </c>
      <c r="BZ4" s="1">
        <v>90.4</v>
      </c>
      <c r="CA4" s="90" t="s">
        <v>73</v>
      </c>
      <c r="CB4" s="90" t="s">
        <v>90</v>
      </c>
      <c r="CC4" s="4" t="s">
        <v>74</v>
      </c>
    </row>
    <row r="5" spans="1:81" ht="14.2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/>
      <c r="J5" s="50">
        <v>9</v>
      </c>
      <c r="K5" s="50">
        <v>10</v>
      </c>
      <c r="L5" s="7">
        <v>10</v>
      </c>
      <c r="M5" s="7">
        <v>10</v>
      </c>
      <c r="N5" s="50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/>
      <c r="U5" s="7">
        <v>14</v>
      </c>
      <c r="V5" s="7"/>
      <c r="W5" s="7">
        <v>16</v>
      </c>
      <c r="X5" s="16"/>
      <c r="Y5" s="16"/>
      <c r="Z5" s="16"/>
      <c r="AA5" s="16"/>
      <c r="AB5" s="16"/>
      <c r="AC5" s="7">
        <v>15</v>
      </c>
      <c r="AD5" s="16"/>
      <c r="AE5" s="17"/>
      <c r="AF5" s="17"/>
      <c r="AG5" s="17"/>
      <c r="AH5" s="7">
        <v>16</v>
      </c>
      <c r="AI5" s="84"/>
      <c r="AJ5" s="7">
        <v>17</v>
      </c>
      <c r="AK5" s="7">
        <v>18</v>
      </c>
      <c r="AL5" s="7">
        <v>17</v>
      </c>
      <c r="AM5" s="7"/>
      <c r="AN5" s="7"/>
      <c r="AO5" s="7">
        <v>19</v>
      </c>
      <c r="AP5" s="7">
        <v>20</v>
      </c>
      <c r="AQ5" s="7"/>
      <c r="AR5" s="7"/>
      <c r="AS5" s="7"/>
      <c r="AT5" s="7"/>
      <c r="AU5" s="7"/>
      <c r="AV5" s="7">
        <v>21</v>
      </c>
      <c r="AW5" s="18">
        <v>22</v>
      </c>
      <c r="AX5" s="18">
        <v>23</v>
      </c>
      <c r="BA5" s="19"/>
      <c r="BB5" s="19"/>
      <c r="BC5" s="1">
        <v>0.88</v>
      </c>
      <c r="BK5" s="4"/>
      <c r="BN5" s="33">
        <v>19</v>
      </c>
      <c r="BO5" s="33">
        <v>20</v>
      </c>
      <c r="BU5" s="4"/>
      <c r="BV5" s="51"/>
      <c r="BW5" s="4"/>
      <c r="BX5" s="4"/>
      <c r="BY5" s="4"/>
      <c r="CA5" s="4"/>
      <c r="CB5" s="4"/>
      <c r="CC5" s="4"/>
    </row>
    <row r="6" spans="1:82" ht="14.25">
      <c r="A6" s="30" t="s">
        <v>6</v>
      </c>
      <c r="B6" s="30">
        <v>17.989</v>
      </c>
      <c r="C6" s="54">
        <v>42876.458</v>
      </c>
      <c r="D6" s="78">
        <f>C6/B6</f>
        <v>2383.482016788037</v>
      </c>
      <c r="E6" s="78">
        <f>D6/$D$14</f>
        <v>1.342379400278777</v>
      </c>
      <c r="F6" s="87">
        <f>ИБР!AI6</f>
        <v>1.0071145907194605</v>
      </c>
      <c r="G6" s="78">
        <f>E6/F6</f>
        <v>1.3328963880066624</v>
      </c>
      <c r="H6" s="78">
        <f aca="true" t="shared" si="0" ref="H6:H13">2021.244*(1.156285-G6)*F6*B6</f>
        <v>-6467.305212359032</v>
      </c>
      <c r="I6" s="54"/>
      <c r="J6" s="57">
        <f>J14*(H6/H14)</f>
        <v>-4956.87398036487</v>
      </c>
      <c r="K6" s="54">
        <f>G6+J6/(F6*C6*1226.686)</f>
        <v>1.3328028093772926</v>
      </c>
      <c r="L6" s="54">
        <v>3706.9294335759146</v>
      </c>
      <c r="M6" s="56">
        <v>35572.9</v>
      </c>
      <c r="N6" s="52">
        <v>0.09</v>
      </c>
      <c r="O6" s="52">
        <v>0</v>
      </c>
      <c r="P6" s="54"/>
      <c r="Q6" s="57"/>
      <c r="R6" s="54"/>
      <c r="S6" s="54"/>
      <c r="T6" s="54"/>
      <c r="U6" s="77">
        <v>4017.61</v>
      </c>
      <c r="V6" s="54">
        <f>S6-J6</f>
        <v>4956.87398036487</v>
      </c>
      <c r="W6" s="54"/>
      <c r="X6" s="58"/>
      <c r="Y6" s="58"/>
      <c r="Z6" s="58"/>
      <c r="AA6" s="58"/>
      <c r="AB6" s="58"/>
      <c r="AC6" s="57">
        <v>4339.092462824435</v>
      </c>
      <c r="AD6" s="58"/>
      <c r="AE6" s="56"/>
      <c r="AF6" s="56"/>
      <c r="AG6" s="56"/>
      <c r="AH6" s="54">
        <f>N6+P6+U6</f>
        <v>4017.7000000000003</v>
      </c>
      <c r="AI6" s="85">
        <f>I6+AC6</f>
        <v>4339.092462824435</v>
      </c>
      <c r="AJ6" s="59">
        <f aca="true" t="shared" si="1" ref="AJ6:AJ14">J6+Q6+AC6</f>
        <v>-617.7815175404348</v>
      </c>
      <c r="AK6" s="54">
        <f aca="true" t="shared" si="2" ref="AK6:AK14">AJ6/AH6</f>
        <v>-0.15376496939553347</v>
      </c>
      <c r="AL6" s="59">
        <f>J6+AC6</f>
        <v>-617.7815175404348</v>
      </c>
      <c r="AM6" s="59"/>
      <c r="AN6" s="59"/>
      <c r="AO6" s="59"/>
      <c r="AP6" s="59">
        <f>AJ6+AO6</f>
        <v>-617.7815175404348</v>
      </c>
      <c r="AQ6" s="59">
        <f>AP6/AH6</f>
        <v>-0.15376496939553347</v>
      </c>
      <c r="AR6" s="59">
        <f>AI6+AN6</f>
        <v>4339.092462824435</v>
      </c>
      <c r="AS6" s="60">
        <f>AL6+AO6</f>
        <v>-617.7815175404348</v>
      </c>
      <c r="AT6" s="59">
        <f aca="true" t="shared" si="3" ref="AT6:AT13">AS6-AC6</f>
        <v>-4956.87398036487</v>
      </c>
      <c r="AU6" s="59">
        <f aca="true" t="shared" si="4" ref="AU6:AU14">AS6/AH6</f>
        <v>-0.15376496939553347</v>
      </c>
      <c r="AV6" s="54">
        <f aca="true" t="shared" si="5" ref="AV6:AV14">AL6/AH6</f>
        <v>-0.15376496939553347</v>
      </c>
      <c r="AW6" s="54">
        <v>3706.9</v>
      </c>
      <c r="AX6" s="54">
        <f aca="true" t="shared" si="6" ref="AX6:AX14">AL6-AW6</f>
        <v>-4324.681517540435</v>
      </c>
      <c r="AY6" s="56"/>
      <c r="AZ6" s="56"/>
      <c r="BA6" s="54">
        <f>J6+T6+AC6</f>
        <v>-617.7815175404348</v>
      </c>
      <c r="BB6" s="54">
        <f aca="true" t="shared" si="7" ref="BB6:BB14">BA6/AH6</f>
        <v>-0.15376496939553347</v>
      </c>
      <c r="BC6" s="56"/>
      <c r="BD6" s="56"/>
      <c r="BE6" s="56"/>
      <c r="BF6" s="56">
        <v>3425.09</v>
      </c>
      <c r="BG6" s="61">
        <f>J6+AC6</f>
        <v>-617.7815175404348</v>
      </c>
      <c r="BH6" s="56">
        <v>3425.09</v>
      </c>
      <c r="BI6" s="56"/>
      <c r="BJ6" s="56">
        <v>33442</v>
      </c>
      <c r="BK6" s="59">
        <v>50575</v>
      </c>
      <c r="BL6" s="56">
        <v>54289</v>
      </c>
      <c r="BM6" s="56">
        <f>BL6-BK6</f>
        <v>3714</v>
      </c>
      <c r="BN6" s="54">
        <f>AJ6+30158.8</f>
        <v>29541.018482459564</v>
      </c>
      <c r="BO6" s="54">
        <f>AH6+33157.8</f>
        <v>37175.5</v>
      </c>
      <c r="BP6" s="56">
        <f>BN6/BO6</f>
        <v>0.7946367495382595</v>
      </c>
      <c r="BQ6" s="56">
        <f>BN6-BO6</f>
        <v>-7634.4815175404365</v>
      </c>
      <c r="BR6" s="56"/>
      <c r="BS6" s="56"/>
      <c r="BT6" s="62"/>
      <c r="BU6" s="53">
        <v>0</v>
      </c>
      <c r="BV6" s="63">
        <v>0</v>
      </c>
      <c r="BW6" s="53">
        <f>N6+P6+BU6+U6</f>
        <v>4017.7000000000003</v>
      </c>
      <c r="BX6" s="53">
        <f>J6+AC6+Q6+BV6</f>
        <v>-617.7815175404348</v>
      </c>
      <c r="BY6" s="52">
        <f>BX6/BW6*100</f>
        <v>-15.376496939553347</v>
      </c>
      <c r="BZ6" s="62"/>
      <c r="CA6" s="53">
        <f>BW6+40117</f>
        <v>44134.7</v>
      </c>
      <c r="CB6" s="53">
        <f>BX6+44258.8</f>
        <v>43641.01848245957</v>
      </c>
      <c r="CC6" s="81">
        <f>CB6/CA6*100</f>
        <v>98.88142092833887</v>
      </c>
      <c r="CD6" s="9">
        <f>CB6-CA6</f>
        <v>-493.6815175404263</v>
      </c>
    </row>
    <row r="7" spans="1:82" ht="14.25">
      <c r="A7" s="30" t="s">
        <v>7</v>
      </c>
      <c r="B7" s="30">
        <v>2.364</v>
      </c>
      <c r="C7" s="54">
        <v>4762.679</v>
      </c>
      <c r="D7" s="78">
        <f>C7/B7</f>
        <v>2014.669627749577</v>
      </c>
      <c r="E7" s="78">
        <f>D7/$D$14</f>
        <v>1.1346639024794667</v>
      </c>
      <c r="F7" s="87">
        <f>ИБР!AI7</f>
        <v>1.1267148277794294</v>
      </c>
      <c r="G7" s="78">
        <f aca="true" t="shared" si="8" ref="G7:G13">E7/F7</f>
        <v>1.0070550901648323</v>
      </c>
      <c r="H7" s="78">
        <f t="shared" si="0"/>
        <v>803.4079081213009</v>
      </c>
      <c r="I7" s="54"/>
      <c r="J7" s="57">
        <v>395.5</v>
      </c>
      <c r="K7" s="54">
        <f aca="true" t="shared" si="9" ref="K7:K13">G7+J7/(F7*C7*1226.686)</f>
        <v>1.0071151726320071</v>
      </c>
      <c r="L7" s="54">
        <v>647.5254877002684</v>
      </c>
      <c r="M7" s="56">
        <v>3230.6</v>
      </c>
      <c r="N7" s="52">
        <v>395.06</v>
      </c>
      <c r="O7" s="52">
        <v>0</v>
      </c>
      <c r="P7" s="54">
        <v>0</v>
      </c>
      <c r="Q7" s="57">
        <v>0</v>
      </c>
      <c r="R7" s="54"/>
      <c r="S7" s="54"/>
      <c r="T7" s="54"/>
      <c r="U7" s="77">
        <v>649.24</v>
      </c>
      <c r="V7" s="54">
        <v>0</v>
      </c>
      <c r="W7" s="54"/>
      <c r="X7" s="58">
        <f>(N7+P7+U7)</f>
        <v>1044.3</v>
      </c>
      <c r="Y7" s="58">
        <f>AA7+AB7</f>
        <v>1043</v>
      </c>
      <c r="Z7" s="58">
        <f>Y7/X7</f>
        <v>0.9987551469884134</v>
      </c>
      <c r="AA7" s="58">
        <f>J7+647.5</f>
        <v>1043</v>
      </c>
      <c r="AB7" s="58"/>
      <c r="AC7" s="57">
        <v>632.8849671401314</v>
      </c>
      <c r="AD7" s="58">
        <f aca="true" t="shared" si="10" ref="AD7:AD13">J7+W7</f>
        <v>395.5</v>
      </c>
      <c r="AE7" s="56">
        <f aca="true" t="shared" si="11" ref="AE7:AE13">J7+W7</f>
        <v>395.5</v>
      </c>
      <c r="AF7" s="56">
        <v>526.24</v>
      </c>
      <c r="AG7" s="56">
        <f>AE7/AF7</f>
        <v>0.7515582243843113</v>
      </c>
      <c r="AH7" s="54">
        <f aca="true" t="shared" si="12" ref="AH7:AH13">N7+P7+U7</f>
        <v>1044.3</v>
      </c>
      <c r="AI7" s="85">
        <f aca="true" t="shared" si="13" ref="AI7:AI13">I7+AC7</f>
        <v>632.8849671401314</v>
      </c>
      <c r="AJ7" s="59">
        <f>J7+Q7+AC7</f>
        <v>1028.3849671401313</v>
      </c>
      <c r="AK7" s="54">
        <f t="shared" si="2"/>
        <v>0.9847600949345315</v>
      </c>
      <c r="AL7" s="59">
        <f aca="true" t="shared" si="14" ref="AL7:AL13">J7+AC7</f>
        <v>1028.3849671401313</v>
      </c>
      <c r="AM7" s="59"/>
      <c r="AN7" s="59"/>
      <c r="AO7" s="59"/>
      <c r="AP7" s="59">
        <f aca="true" t="shared" si="15" ref="AP7:AP13">AJ7+AO7</f>
        <v>1028.3849671401313</v>
      </c>
      <c r="AQ7" s="59">
        <f aca="true" t="shared" si="16" ref="AQ7:AQ13">AP7/AH7</f>
        <v>0.9847600949345315</v>
      </c>
      <c r="AR7" s="59">
        <f aca="true" t="shared" si="17" ref="AR7:AR13">AI7+AN7</f>
        <v>632.8849671401314</v>
      </c>
      <c r="AS7" s="60">
        <f>AL7+AO7</f>
        <v>1028.3849671401313</v>
      </c>
      <c r="AT7" s="59">
        <f t="shared" si="3"/>
        <v>395.4999999999999</v>
      </c>
      <c r="AU7" s="59">
        <f t="shared" si="4"/>
        <v>0.9847600949345315</v>
      </c>
      <c r="AV7" s="54">
        <f t="shared" si="5"/>
        <v>0.9847600949345315</v>
      </c>
      <c r="AW7" s="54">
        <v>1142.2</v>
      </c>
      <c r="AX7" s="54">
        <f t="shared" si="6"/>
        <v>-113.81503285986878</v>
      </c>
      <c r="AY7" s="56"/>
      <c r="AZ7" s="56"/>
      <c r="BA7" s="54">
        <f aca="true" t="shared" si="18" ref="BA7:BA14">J7+T7+AC7</f>
        <v>1028.3849671401313</v>
      </c>
      <c r="BB7" s="54">
        <f t="shared" si="7"/>
        <v>0.9847600949345315</v>
      </c>
      <c r="BC7" s="56"/>
      <c r="BD7" s="56">
        <f aca="true" t="shared" si="19" ref="BD7:BD13">BC7-AL7</f>
        <v>-1028.3849671401313</v>
      </c>
      <c r="BE7" s="56"/>
      <c r="BF7" s="56">
        <v>594.56</v>
      </c>
      <c r="BG7" s="61">
        <f aca="true" t="shared" si="20" ref="BG7:BG13">J7+AC7</f>
        <v>1028.3849671401313</v>
      </c>
      <c r="BH7" s="56">
        <v>594.56</v>
      </c>
      <c r="BI7" s="56"/>
      <c r="BJ7" s="56">
        <v>3504</v>
      </c>
      <c r="BK7" s="59">
        <f>10819-6401.9</f>
        <v>4417.1</v>
      </c>
      <c r="BL7" s="56">
        <v>4774</v>
      </c>
      <c r="BM7" s="56">
        <f aca="true" t="shared" si="21" ref="BM7:BM14">BL7-BK7</f>
        <v>356.89999999999964</v>
      </c>
      <c r="BN7" s="54">
        <f>AJ7+3702.6</f>
        <v>4730.984967140132</v>
      </c>
      <c r="BO7" s="54">
        <f>AH7+4362.7</f>
        <v>5407</v>
      </c>
      <c r="BP7" s="56">
        <f aca="true" t="shared" si="22" ref="BP7:BP14">BN7/BO7</f>
        <v>0.8749741015609639</v>
      </c>
      <c r="BQ7" s="56">
        <f aca="true" t="shared" si="23" ref="BQ7:BQ14">BN7-BO7</f>
        <v>-676.0150328598684</v>
      </c>
      <c r="BR7" s="56"/>
      <c r="BS7" s="56"/>
      <c r="BT7" s="62"/>
      <c r="BU7" s="53">
        <v>481</v>
      </c>
      <c r="BV7" s="63">
        <f>300-100</f>
        <v>200</v>
      </c>
      <c r="BW7" s="53">
        <f>N7+P7+BU7+U7</f>
        <v>1525.3</v>
      </c>
      <c r="BX7" s="53">
        <f aca="true" t="shared" si="24" ref="BX7:BX13">J7+AC7+Q7+BV7</f>
        <v>1228.3849671401313</v>
      </c>
      <c r="BY7" s="53">
        <f aca="true" t="shared" si="25" ref="BY7:BY14">BX7/BW7*100</f>
        <v>80.53399115846925</v>
      </c>
      <c r="BZ7" s="62"/>
      <c r="CA7" s="53">
        <f>BW7+4494.5</f>
        <v>6019.8</v>
      </c>
      <c r="CB7" s="53">
        <f>BX7+5093.1</f>
        <v>6321.484967140132</v>
      </c>
      <c r="CC7" s="80">
        <f aca="true" t="shared" si="26" ref="CC7:CC14">CB7/CA7*100</f>
        <v>105.0115446881978</v>
      </c>
      <c r="CD7" s="9">
        <f aca="true" t="shared" si="27" ref="CD7:CD14">CB7-CA7</f>
        <v>301.68496714013145</v>
      </c>
    </row>
    <row r="8" spans="1:82" ht="14.25">
      <c r="A8" s="30" t="s">
        <v>8</v>
      </c>
      <c r="B8" s="30">
        <v>1.222</v>
      </c>
      <c r="C8" s="54">
        <v>934.906</v>
      </c>
      <c r="D8" s="78">
        <f aca="true" t="shared" si="28" ref="D8:D14">C8/B8</f>
        <v>765.0621931260229</v>
      </c>
      <c r="E8" s="78">
        <f aca="true" t="shared" si="29" ref="E8:E14">D8/$D$14</f>
        <v>0.43088377455788784</v>
      </c>
      <c r="F8" s="87">
        <f>ИБР!AI8</f>
        <v>1.2560195362390634</v>
      </c>
      <c r="G8" s="78">
        <f t="shared" si="8"/>
        <v>0.3430549940712673</v>
      </c>
      <c r="H8" s="78">
        <f t="shared" si="0"/>
        <v>2522.898268298385</v>
      </c>
      <c r="I8" s="54">
        <v>1734.9</v>
      </c>
      <c r="J8" s="57">
        <v>1905.5</v>
      </c>
      <c r="K8" s="54">
        <f t="shared" si="9"/>
        <v>0.3443778459024962</v>
      </c>
      <c r="L8" s="54">
        <v>461.95052436426016</v>
      </c>
      <c r="M8" s="56">
        <v>1055.9</v>
      </c>
      <c r="N8" s="52">
        <v>1907.062</v>
      </c>
      <c r="O8" s="52">
        <f>J8/N8</f>
        <v>0.9991809390570418</v>
      </c>
      <c r="P8" s="54">
        <v>500</v>
      </c>
      <c r="Q8" s="57">
        <f>P8*109.2%+170</f>
        <v>716</v>
      </c>
      <c r="R8" s="54"/>
      <c r="S8" s="54"/>
      <c r="T8" s="54"/>
      <c r="U8" s="77">
        <v>370.54</v>
      </c>
      <c r="V8" s="54">
        <v>1199.9</v>
      </c>
      <c r="W8" s="54">
        <v>706.763930155639</v>
      </c>
      <c r="X8" s="58">
        <f aca="true" t="shared" si="30" ref="X8:X13">(N8+P8+U8)</f>
        <v>2777.602</v>
      </c>
      <c r="Y8" s="58">
        <f>AA8+AB8+70</f>
        <v>2847.602</v>
      </c>
      <c r="Z8" s="58">
        <f aca="true" t="shared" si="31" ref="Z8:Z13">Y8/X8</f>
        <v>1.0252015947569162</v>
      </c>
      <c r="AA8" s="58">
        <f>J8+462</f>
        <v>2367.5</v>
      </c>
      <c r="AB8" s="58">
        <f>X8-AA8</f>
        <v>410.10199999999986</v>
      </c>
      <c r="AC8" s="57">
        <v>371.0808622308368</v>
      </c>
      <c r="AD8" s="58">
        <f t="shared" si="10"/>
        <v>2612.263930155639</v>
      </c>
      <c r="AE8" s="56">
        <f t="shared" si="11"/>
        <v>2612.263930155639</v>
      </c>
      <c r="AF8" s="56">
        <v>2859.67</v>
      </c>
      <c r="AG8" s="56">
        <f aca="true" t="shared" si="32" ref="AG8:AG13">AE8/AF8</f>
        <v>0.9134843986039085</v>
      </c>
      <c r="AH8" s="54">
        <f t="shared" si="12"/>
        <v>2777.602</v>
      </c>
      <c r="AI8" s="85">
        <f t="shared" si="13"/>
        <v>2105.980862230837</v>
      </c>
      <c r="AJ8" s="59">
        <f>J8+Q8+AC8</f>
        <v>2992.580862230837</v>
      </c>
      <c r="AK8" s="54">
        <f t="shared" si="2"/>
        <v>1.0773972881034926</v>
      </c>
      <c r="AL8" s="59">
        <f t="shared" si="14"/>
        <v>2276.580862230837</v>
      </c>
      <c r="AM8" s="59">
        <f>AH8*0.88</f>
        <v>2444.28976</v>
      </c>
      <c r="AN8" s="59">
        <v>1128.5</v>
      </c>
      <c r="AO8" s="59">
        <f>AM8-AL8</f>
        <v>167.7088977691633</v>
      </c>
      <c r="AP8" s="59">
        <f t="shared" si="15"/>
        <v>3160.28976</v>
      </c>
      <c r="AQ8" s="59">
        <f t="shared" si="16"/>
        <v>1.1377763120850288</v>
      </c>
      <c r="AR8" s="59">
        <f t="shared" si="17"/>
        <v>3234.480862230837</v>
      </c>
      <c r="AS8" s="60">
        <v>3264.13</v>
      </c>
      <c r="AT8" s="59">
        <f t="shared" si="3"/>
        <v>2893.0491377691633</v>
      </c>
      <c r="AU8" s="59">
        <f t="shared" si="4"/>
        <v>1.1751611641984705</v>
      </c>
      <c r="AV8" s="54">
        <f t="shared" si="5"/>
        <v>0.8196209760184637</v>
      </c>
      <c r="AW8" s="54">
        <v>3194.7</v>
      </c>
      <c r="AX8" s="54">
        <f t="shared" si="6"/>
        <v>-918.119137769163</v>
      </c>
      <c r="AY8" s="56"/>
      <c r="AZ8" s="56">
        <f>AX8*$AZ$14</f>
        <v>11464.459204473316</v>
      </c>
      <c r="BA8" s="54">
        <f t="shared" si="18"/>
        <v>2276.580862230837</v>
      </c>
      <c r="BB8" s="54">
        <f t="shared" si="7"/>
        <v>0.8196209760184637</v>
      </c>
      <c r="BC8" s="56">
        <f aca="true" t="shared" si="33" ref="BC8:BC13">AH8*$BC$5</f>
        <v>2444.28976</v>
      </c>
      <c r="BD8" s="56">
        <f t="shared" si="19"/>
        <v>167.7088977691633</v>
      </c>
      <c r="BE8" s="56"/>
      <c r="BF8" s="56">
        <v>3264.12</v>
      </c>
      <c r="BG8" s="61">
        <f t="shared" si="20"/>
        <v>2276.580862230837</v>
      </c>
      <c r="BH8" s="56">
        <v>2207.73</v>
      </c>
      <c r="BI8" s="56"/>
      <c r="BJ8" s="56">
        <v>595.3</v>
      </c>
      <c r="BK8" s="59">
        <v>4409</v>
      </c>
      <c r="BL8" s="56">
        <v>4764</v>
      </c>
      <c r="BM8" s="56">
        <f t="shared" si="21"/>
        <v>355</v>
      </c>
      <c r="BN8" s="54">
        <f>AJ8+447.5</f>
        <v>3440.080862230837</v>
      </c>
      <c r="BO8" s="54">
        <f>AH8+613.9</f>
        <v>3391.502</v>
      </c>
      <c r="BP8" s="56">
        <f t="shared" si="22"/>
        <v>1.014323701484132</v>
      </c>
      <c r="BQ8" s="56">
        <f t="shared" si="23"/>
        <v>48.578862230836876</v>
      </c>
      <c r="BR8" s="56"/>
      <c r="BS8" s="56"/>
      <c r="BT8" s="62"/>
      <c r="BU8" s="53">
        <v>722</v>
      </c>
      <c r="BV8" s="63">
        <f>BU8*90.8%+22+25</f>
        <v>702.5759999999999</v>
      </c>
      <c r="BW8" s="53">
        <f aca="true" t="shared" si="34" ref="BW8:BW14">N8+P8+BU8+U8</f>
        <v>3499.602</v>
      </c>
      <c r="BX8" s="53">
        <f>J8+AC8+Q8+BV8</f>
        <v>3695.156862230837</v>
      </c>
      <c r="BY8" s="53">
        <f t="shared" si="25"/>
        <v>105.5879172040374</v>
      </c>
      <c r="BZ8" s="62"/>
      <c r="CA8" s="53">
        <f>BW8+947.9</f>
        <v>4447.5019999999995</v>
      </c>
      <c r="CB8" s="53">
        <f>BX8+842.6</f>
        <v>4537.756862230837</v>
      </c>
      <c r="CC8" s="80">
        <f t="shared" si="26"/>
        <v>102.02933831689873</v>
      </c>
      <c r="CD8" s="9">
        <f t="shared" si="27"/>
        <v>90.25486223083772</v>
      </c>
    </row>
    <row r="9" spans="1:82" ht="14.25">
      <c r="A9" s="30" t="s">
        <v>9</v>
      </c>
      <c r="B9" s="30">
        <v>1.535</v>
      </c>
      <c r="C9" s="54">
        <v>910.238</v>
      </c>
      <c r="D9" s="78">
        <f>C9/B9</f>
        <v>592.9889250814333</v>
      </c>
      <c r="E9" s="78">
        <f t="shared" si="29"/>
        <v>0.33397194189678703</v>
      </c>
      <c r="F9" s="87">
        <f>ИБР!AI9</f>
        <v>1.2014701245718156</v>
      </c>
      <c r="G9" s="78">
        <f t="shared" si="8"/>
        <v>0.27796941019720256</v>
      </c>
      <c r="H9" s="78">
        <f t="shared" si="0"/>
        <v>3274.090586512659</v>
      </c>
      <c r="I9" s="54">
        <v>1516.6</v>
      </c>
      <c r="J9" s="57">
        <v>1590</v>
      </c>
      <c r="K9" s="54">
        <f t="shared" si="9"/>
        <v>0.2791546214799872</v>
      </c>
      <c r="L9" s="54">
        <v>486.19050886853535</v>
      </c>
      <c r="M9" s="56">
        <v>1039.3</v>
      </c>
      <c r="N9" s="52">
        <v>1594.001</v>
      </c>
      <c r="O9" s="52">
        <f aca="true" t="shared" si="35" ref="O9:O14">J9/N9</f>
        <v>0.9974899639335233</v>
      </c>
      <c r="P9" s="54">
        <v>600</v>
      </c>
      <c r="Q9" s="57">
        <f>P9*109.2%+90</f>
        <v>745.2</v>
      </c>
      <c r="R9" s="54"/>
      <c r="S9" s="54"/>
      <c r="T9" s="54"/>
      <c r="U9" s="77">
        <v>420.3</v>
      </c>
      <c r="V9" s="54">
        <v>1013.9</v>
      </c>
      <c r="W9" s="54">
        <v>731.4763359144373</v>
      </c>
      <c r="X9" s="58">
        <f t="shared" si="30"/>
        <v>2614.3010000000004</v>
      </c>
      <c r="Y9" s="58">
        <f>AA9+AB9+133.4</f>
        <v>2747.7010000000005</v>
      </c>
      <c r="Z9" s="58">
        <f t="shared" si="31"/>
        <v>1.0510270240496409</v>
      </c>
      <c r="AA9" s="58">
        <f>J9+486.2</f>
        <v>2076.2</v>
      </c>
      <c r="AB9" s="58">
        <f>X9-AA9</f>
        <v>538.1010000000006</v>
      </c>
      <c r="AC9" s="57">
        <v>426.9845507132257</v>
      </c>
      <c r="AD9" s="58">
        <f t="shared" si="10"/>
        <v>2321.476335914437</v>
      </c>
      <c r="AE9" s="56">
        <f t="shared" si="11"/>
        <v>2321.476335914437</v>
      </c>
      <c r="AF9" s="56">
        <v>2959.6600000000003</v>
      </c>
      <c r="AG9" s="56">
        <f t="shared" si="32"/>
        <v>0.7843726427746556</v>
      </c>
      <c r="AH9" s="54">
        <f>N9+P9+U9</f>
        <v>2614.3010000000004</v>
      </c>
      <c r="AI9" s="85">
        <f t="shared" si="13"/>
        <v>1943.5845507132256</v>
      </c>
      <c r="AJ9" s="59">
        <f t="shared" si="1"/>
        <v>2762.1845507132257</v>
      </c>
      <c r="AK9" s="54">
        <f t="shared" si="2"/>
        <v>1.0565671476670917</v>
      </c>
      <c r="AL9" s="59">
        <f t="shared" si="14"/>
        <v>2016.9845507132256</v>
      </c>
      <c r="AM9" s="59">
        <f>AH9*0.88</f>
        <v>2300.5848800000003</v>
      </c>
      <c r="AN9" s="59">
        <v>1004.7</v>
      </c>
      <c r="AO9" s="59">
        <f>AM9-AL9</f>
        <v>283.6003292867747</v>
      </c>
      <c r="AP9" s="59">
        <f t="shared" si="15"/>
        <v>3045.78488</v>
      </c>
      <c r="AQ9" s="59">
        <f t="shared" si="16"/>
        <v>1.165047513656614</v>
      </c>
      <c r="AR9" s="59">
        <f t="shared" si="17"/>
        <v>2948.2845507132256</v>
      </c>
      <c r="AS9" s="60">
        <v>2934.74</v>
      </c>
      <c r="AT9" s="59">
        <f t="shared" si="3"/>
        <v>2507.755449286774</v>
      </c>
      <c r="AU9" s="59">
        <f t="shared" si="4"/>
        <v>1.122571578406618</v>
      </c>
      <c r="AV9" s="54">
        <f t="shared" si="5"/>
        <v>0.7715196340104775</v>
      </c>
      <c r="AW9" s="54">
        <v>3265.6</v>
      </c>
      <c r="AX9" s="54">
        <f t="shared" si="6"/>
        <v>-1248.6154492867743</v>
      </c>
      <c r="AY9" s="56"/>
      <c r="AZ9" s="56">
        <f>AX9*$AZ$14</f>
        <v>15591.332640342369</v>
      </c>
      <c r="BA9" s="54">
        <f t="shared" si="18"/>
        <v>2016.9845507132256</v>
      </c>
      <c r="BB9" s="54">
        <f t="shared" si="7"/>
        <v>0.7715196340104775</v>
      </c>
      <c r="BC9" s="56">
        <f t="shared" si="33"/>
        <v>2300.5848800000003</v>
      </c>
      <c r="BD9" s="56">
        <f t="shared" si="19"/>
        <v>283.6003292867747</v>
      </c>
      <c r="BE9" s="56"/>
      <c r="BF9" s="56">
        <v>2934.68</v>
      </c>
      <c r="BG9" s="61">
        <f t="shared" si="20"/>
        <v>2016.9845507132256</v>
      </c>
      <c r="BH9" s="56">
        <v>2076.85</v>
      </c>
      <c r="BI9" s="56"/>
      <c r="BJ9" s="56">
        <v>723</v>
      </c>
      <c r="BK9" s="59">
        <v>4019</v>
      </c>
      <c r="BL9" s="56">
        <v>4337</v>
      </c>
      <c r="BM9" s="56">
        <f t="shared" si="21"/>
        <v>318</v>
      </c>
      <c r="BN9" s="54">
        <f>AJ9+653.3</f>
        <v>3415.484550713226</v>
      </c>
      <c r="BO9" s="54">
        <f>AH9+646.4</f>
        <v>3260.7010000000005</v>
      </c>
      <c r="BP9" s="56">
        <f t="shared" si="22"/>
        <v>1.0474694094040593</v>
      </c>
      <c r="BQ9" s="56">
        <f t="shared" si="23"/>
        <v>154.7835507132254</v>
      </c>
      <c r="BR9" s="56">
        <f>J9+AC9</f>
        <v>2016.9845507132256</v>
      </c>
      <c r="BS9" s="56"/>
      <c r="BT9" s="62"/>
      <c r="BU9" s="53">
        <v>1083</v>
      </c>
      <c r="BV9" s="63">
        <f>BU9*90.8%+22+25</f>
        <v>1030.364</v>
      </c>
      <c r="BW9" s="53">
        <f t="shared" si="34"/>
        <v>3697.3010000000004</v>
      </c>
      <c r="BX9" s="53">
        <f t="shared" si="24"/>
        <v>3792.5485507132257</v>
      </c>
      <c r="BY9" s="53">
        <f t="shared" si="25"/>
        <v>102.57613731511785</v>
      </c>
      <c r="BZ9" s="62"/>
      <c r="CA9" s="53">
        <f>BW9+795.4</f>
        <v>4492.701</v>
      </c>
      <c r="CB9" s="53">
        <f>BX9+791.1</f>
        <v>4583.648550713226</v>
      </c>
      <c r="CC9" s="80">
        <f t="shared" si="26"/>
        <v>102.02434016225932</v>
      </c>
      <c r="CD9" s="9">
        <f t="shared" si="27"/>
        <v>90.94755071322561</v>
      </c>
    </row>
    <row r="10" spans="1:82" ht="14.25">
      <c r="A10" s="30" t="s">
        <v>10</v>
      </c>
      <c r="B10" s="30">
        <v>3.171</v>
      </c>
      <c r="C10" s="54">
        <v>1660.2069999999999</v>
      </c>
      <c r="D10" s="78">
        <f>C10/B10</f>
        <v>523.559444970041</v>
      </c>
      <c r="E10" s="78">
        <f t="shared" si="29"/>
        <v>0.2948691908723867</v>
      </c>
      <c r="F10" s="87">
        <f>ИБР!AI10</f>
        <v>1.0918679099322444</v>
      </c>
      <c r="G10" s="78">
        <f t="shared" si="8"/>
        <v>0.27005939838518084</v>
      </c>
      <c r="H10" s="78">
        <f t="shared" si="0"/>
        <v>6201.965983989239</v>
      </c>
      <c r="I10" s="54">
        <v>1503.1</v>
      </c>
      <c r="J10" s="57">
        <v>2320</v>
      </c>
      <c r="K10" s="54">
        <f t="shared" si="9"/>
        <v>0.271102729677486</v>
      </c>
      <c r="L10" s="54">
        <v>746.2736212955532</v>
      </c>
      <c r="M10" s="56">
        <v>1381.6</v>
      </c>
      <c r="N10" s="52">
        <v>2320.987</v>
      </c>
      <c r="O10" s="52">
        <f t="shared" si="35"/>
        <v>0.9995747498801156</v>
      </c>
      <c r="P10" s="54">
        <v>0</v>
      </c>
      <c r="Q10" s="57">
        <v>0</v>
      </c>
      <c r="R10" s="54"/>
      <c r="S10" s="54"/>
      <c r="T10" s="54"/>
      <c r="U10" s="77">
        <v>738.51</v>
      </c>
      <c r="V10" s="54">
        <v>934.4</v>
      </c>
      <c r="W10" s="54">
        <v>711.249680375883</v>
      </c>
      <c r="X10" s="58">
        <f t="shared" si="30"/>
        <v>3059.4970000000003</v>
      </c>
      <c r="Y10" s="58">
        <f>AA10+AB10</f>
        <v>3059.4970000000003</v>
      </c>
      <c r="Z10" s="58">
        <f t="shared" si="31"/>
        <v>1</v>
      </c>
      <c r="AA10" s="58">
        <f>J10+746.3</f>
        <v>3066.3</v>
      </c>
      <c r="AB10" s="58">
        <f>X10-AA10</f>
        <v>-6.802999999999884</v>
      </c>
      <c r="AC10" s="57">
        <v>780.3510754414125</v>
      </c>
      <c r="AD10" s="58">
        <f t="shared" si="10"/>
        <v>3031.249680375883</v>
      </c>
      <c r="AE10" s="56">
        <f t="shared" si="11"/>
        <v>3031.249680375883</v>
      </c>
      <c r="AF10" s="56">
        <v>2877.8200000000006</v>
      </c>
      <c r="AG10" s="56">
        <f t="shared" si="32"/>
        <v>1.0533145507279407</v>
      </c>
      <c r="AH10" s="54">
        <f>N10+P10+U10</f>
        <v>3059.4970000000003</v>
      </c>
      <c r="AI10" s="85">
        <f t="shared" si="13"/>
        <v>2283.4510754414123</v>
      </c>
      <c r="AJ10" s="59">
        <f>J10+Q10+AC10</f>
        <v>3100.3510754414124</v>
      </c>
      <c r="AK10" s="54">
        <f t="shared" si="2"/>
        <v>1.0133532000330159</v>
      </c>
      <c r="AL10" s="59">
        <f t="shared" si="14"/>
        <v>3100.3510754414124</v>
      </c>
      <c r="AM10" s="59">
        <f>AH10*0.88</f>
        <v>2692.3573600000004</v>
      </c>
      <c r="AN10" s="59">
        <v>837.3</v>
      </c>
      <c r="AO10" s="59">
        <f>AM10-AL10</f>
        <v>-407.99371544141195</v>
      </c>
      <c r="AP10" s="59">
        <f t="shared" si="15"/>
        <v>2692.3573600000004</v>
      </c>
      <c r="AQ10" s="59">
        <f t="shared" si="16"/>
        <v>0.88</v>
      </c>
      <c r="AR10" s="59">
        <f t="shared" si="17"/>
        <v>3120.7510754414125</v>
      </c>
      <c r="AS10" s="60">
        <v>2985.97</v>
      </c>
      <c r="AT10" s="59">
        <f t="shared" si="3"/>
        <v>2205.6189245585874</v>
      </c>
      <c r="AU10" s="59">
        <f t="shared" si="4"/>
        <v>0.975967618206522</v>
      </c>
      <c r="AV10" s="54">
        <f t="shared" si="5"/>
        <v>1.0133532000330159</v>
      </c>
      <c r="AW10" s="54">
        <v>3450.7</v>
      </c>
      <c r="AX10" s="54">
        <f t="shared" si="6"/>
        <v>-350.34892455858744</v>
      </c>
      <c r="AY10" s="56"/>
      <c r="AZ10" s="56">
        <f>AX10*$AZ$14</f>
        <v>4374.770972199127</v>
      </c>
      <c r="BA10" s="54">
        <f t="shared" si="18"/>
        <v>3100.3510754414124</v>
      </c>
      <c r="BB10" s="54">
        <f t="shared" si="7"/>
        <v>1.0133532000330159</v>
      </c>
      <c r="BC10" s="56">
        <f t="shared" si="33"/>
        <v>2692.3573600000004</v>
      </c>
      <c r="BD10" s="56">
        <f t="shared" si="19"/>
        <v>-407.99371544141195</v>
      </c>
      <c r="BE10" s="56"/>
      <c r="BF10" s="56">
        <v>2985.93</v>
      </c>
      <c r="BG10" s="61">
        <f>J10+AC10</f>
        <v>3100.3510754414124</v>
      </c>
      <c r="BH10" s="56">
        <v>2487.75</v>
      </c>
      <c r="BI10" s="56"/>
      <c r="BJ10" s="56">
        <v>828.4</v>
      </c>
      <c r="BK10" s="59">
        <v>4445</v>
      </c>
      <c r="BL10" s="56">
        <v>4792</v>
      </c>
      <c r="BM10" s="56">
        <f t="shared" si="21"/>
        <v>347</v>
      </c>
      <c r="BN10" s="54">
        <f>AJ10+806.5</f>
        <v>3906.8510754414124</v>
      </c>
      <c r="BO10" s="54">
        <f>AH10+809.8</f>
        <v>3869.2970000000005</v>
      </c>
      <c r="BP10" s="56">
        <f t="shared" si="22"/>
        <v>1.0097056585321345</v>
      </c>
      <c r="BQ10" s="56">
        <f t="shared" si="23"/>
        <v>37.5540754414119</v>
      </c>
      <c r="BR10" s="56">
        <f>J10+AC10</f>
        <v>3100.3510754414124</v>
      </c>
      <c r="BS10" s="56">
        <f>Q10</f>
        <v>0</v>
      </c>
      <c r="BT10" s="62">
        <f>BR10+BS10</f>
        <v>3100.3510754414124</v>
      </c>
      <c r="BU10" s="53">
        <v>365</v>
      </c>
      <c r="BV10" s="63">
        <f>BU10*90.8%+22+25</f>
        <v>378.41999999999996</v>
      </c>
      <c r="BW10" s="53">
        <f t="shared" si="34"/>
        <v>3424.4970000000003</v>
      </c>
      <c r="BX10" s="53">
        <f t="shared" si="24"/>
        <v>3478.7710754414124</v>
      </c>
      <c r="BY10" s="53">
        <f t="shared" si="25"/>
        <v>101.58487729559735</v>
      </c>
      <c r="BZ10" s="62"/>
      <c r="CA10" s="53">
        <f>BW10+986.4</f>
        <v>4410.897</v>
      </c>
      <c r="CB10" s="53">
        <f>BX10+1021.4</f>
        <v>4500.1710754414125</v>
      </c>
      <c r="CC10" s="80">
        <f t="shared" si="26"/>
        <v>102.02394377926787</v>
      </c>
      <c r="CD10" s="9">
        <f t="shared" si="27"/>
        <v>89.2740754414126</v>
      </c>
    </row>
    <row r="11" spans="1:82" s="26" customFormat="1" ht="14.25">
      <c r="A11" s="30" t="s">
        <v>11</v>
      </c>
      <c r="B11" s="30">
        <v>0.426</v>
      </c>
      <c r="C11" s="54">
        <v>274.83299999999997</v>
      </c>
      <c r="D11" s="78">
        <f t="shared" si="28"/>
        <v>645.1478873239436</v>
      </c>
      <c r="E11" s="78">
        <f t="shared" si="29"/>
        <v>0.3633479203858628</v>
      </c>
      <c r="F11" s="87">
        <f>ИБР!AI11</f>
        <v>1.7533090295285165</v>
      </c>
      <c r="G11" s="78">
        <f t="shared" si="8"/>
        <v>0.20723552680474755</v>
      </c>
      <c r="H11" s="78">
        <f t="shared" si="0"/>
        <v>1432.7673119860162</v>
      </c>
      <c r="I11" s="54">
        <v>1573.9</v>
      </c>
      <c r="J11" s="57">
        <v>1340.5</v>
      </c>
      <c r="K11" s="54">
        <f t="shared" si="9"/>
        <v>0.20950333364872425</v>
      </c>
      <c r="L11" s="54">
        <v>138.68450150806606</v>
      </c>
      <c r="M11" s="56">
        <v>326.8</v>
      </c>
      <c r="N11" s="52">
        <v>1340.972</v>
      </c>
      <c r="O11" s="52">
        <f t="shared" si="35"/>
        <v>0.9996480165133947</v>
      </c>
      <c r="P11" s="54">
        <v>100</v>
      </c>
      <c r="Q11" s="57">
        <f>P11*109.2%-20</f>
        <v>89.2</v>
      </c>
      <c r="R11" s="54"/>
      <c r="S11" s="54"/>
      <c r="T11" s="54"/>
      <c r="U11" s="77">
        <v>123.23</v>
      </c>
      <c r="V11" s="54">
        <v>0</v>
      </c>
      <c r="W11" s="54"/>
      <c r="X11" s="58">
        <f t="shared" si="30"/>
        <v>1564.202</v>
      </c>
      <c r="Y11" s="58">
        <f>AA11+AB11</f>
        <v>1479.2</v>
      </c>
      <c r="Z11" s="58">
        <f t="shared" si="31"/>
        <v>0.9456579137477129</v>
      </c>
      <c r="AA11" s="58">
        <f>J11+138.7</f>
        <v>1479.2</v>
      </c>
      <c r="AB11" s="58"/>
      <c r="AC11" s="57">
        <v>122.85008086253369</v>
      </c>
      <c r="AD11" s="58">
        <f t="shared" si="10"/>
        <v>1340.5</v>
      </c>
      <c r="AE11" s="56">
        <f t="shared" si="11"/>
        <v>1340.5</v>
      </c>
      <c r="AF11" s="56">
        <v>1062.71</v>
      </c>
      <c r="AG11" s="56">
        <f t="shared" si="32"/>
        <v>1.261397747268775</v>
      </c>
      <c r="AH11" s="54">
        <f t="shared" si="12"/>
        <v>1564.202</v>
      </c>
      <c r="AI11" s="85">
        <f t="shared" si="13"/>
        <v>1696.7500808625339</v>
      </c>
      <c r="AJ11" s="59">
        <f>J11+Q11+AC11</f>
        <v>1552.5500808625338</v>
      </c>
      <c r="AK11" s="54">
        <f t="shared" si="2"/>
        <v>0.9925508859230034</v>
      </c>
      <c r="AL11" s="59">
        <f t="shared" si="14"/>
        <v>1463.3500808625338</v>
      </c>
      <c r="AM11" s="59"/>
      <c r="AN11" s="59"/>
      <c r="AO11" s="59"/>
      <c r="AP11" s="59">
        <f t="shared" si="15"/>
        <v>1552.5500808625338</v>
      </c>
      <c r="AQ11" s="59">
        <f t="shared" si="16"/>
        <v>0.9925508859230034</v>
      </c>
      <c r="AR11" s="59">
        <f t="shared" si="17"/>
        <v>1696.7500808625339</v>
      </c>
      <c r="AS11" s="60">
        <v>1622.64</v>
      </c>
      <c r="AT11" s="59">
        <f t="shared" si="3"/>
        <v>1499.7899191374663</v>
      </c>
      <c r="AU11" s="59">
        <f t="shared" si="4"/>
        <v>1.0373596249077806</v>
      </c>
      <c r="AV11" s="54">
        <f t="shared" si="5"/>
        <v>0.9355250030766703</v>
      </c>
      <c r="AW11" s="54">
        <v>1832.7</v>
      </c>
      <c r="AX11" s="54">
        <f t="shared" si="6"/>
        <v>-369.34991913746626</v>
      </c>
      <c r="AY11" s="56"/>
      <c r="AZ11" s="56"/>
      <c r="BA11" s="54">
        <f>J11+T11+AC11</f>
        <v>1463.3500808625338</v>
      </c>
      <c r="BB11" s="54">
        <f t="shared" si="7"/>
        <v>0.9355250030766703</v>
      </c>
      <c r="BC11" s="56">
        <f t="shared" si="33"/>
        <v>1376.49776</v>
      </c>
      <c r="BD11" s="56">
        <f t="shared" si="19"/>
        <v>-86.85232086253382</v>
      </c>
      <c r="BE11" s="56"/>
      <c r="BF11" s="56">
        <v>1408.39</v>
      </c>
      <c r="BG11" s="61">
        <f t="shared" si="20"/>
        <v>1463.3500808625338</v>
      </c>
      <c r="BH11" s="56">
        <v>1408.39</v>
      </c>
      <c r="BI11" s="56"/>
      <c r="BJ11" s="56">
        <v>273.8</v>
      </c>
      <c r="BK11" s="59">
        <v>1987</v>
      </c>
      <c r="BL11" s="56">
        <v>2135</v>
      </c>
      <c r="BM11" s="56">
        <f t="shared" si="21"/>
        <v>148</v>
      </c>
      <c r="BN11" s="54">
        <f>AJ11+239.5</f>
        <v>1792.0500808625338</v>
      </c>
      <c r="BO11" s="54">
        <f>AH11+222.1</f>
        <v>1786.302</v>
      </c>
      <c r="BP11" s="56">
        <f t="shared" si="22"/>
        <v>1.003217866218889</v>
      </c>
      <c r="BQ11" s="56">
        <f t="shared" si="23"/>
        <v>5.748080862533925</v>
      </c>
      <c r="BR11" s="56">
        <f>J11+AC11</f>
        <v>1463.3500808625338</v>
      </c>
      <c r="BS11" s="56"/>
      <c r="BT11" s="65"/>
      <c r="BU11" s="64">
        <v>130</v>
      </c>
      <c r="BV11" s="63">
        <f>BU11*90.8%+22+25</f>
        <v>165.04</v>
      </c>
      <c r="BW11" s="53">
        <f t="shared" si="34"/>
        <v>1694.202</v>
      </c>
      <c r="BX11" s="53">
        <f t="shared" si="24"/>
        <v>1717.5900808625338</v>
      </c>
      <c r="BY11" s="53">
        <f t="shared" si="25"/>
        <v>101.38047770351668</v>
      </c>
      <c r="BZ11" s="65"/>
      <c r="CA11" s="53">
        <f>BW11+378.4</f>
        <v>2072.602</v>
      </c>
      <c r="CB11" s="53">
        <f>BX11+401.4</f>
        <v>2118.990080862534</v>
      </c>
      <c r="CC11" s="80">
        <f t="shared" si="26"/>
        <v>102.23815671617291</v>
      </c>
      <c r="CD11" s="9">
        <f t="shared" si="27"/>
        <v>46.388080862534025</v>
      </c>
    </row>
    <row r="12" spans="1:82" ht="14.25">
      <c r="A12" s="30" t="s">
        <v>12</v>
      </c>
      <c r="B12" s="30">
        <v>1.956</v>
      </c>
      <c r="C12" s="54">
        <v>1381.501</v>
      </c>
      <c r="D12" s="78">
        <f t="shared" si="28"/>
        <v>706.2888548057259</v>
      </c>
      <c r="E12" s="78">
        <f t="shared" si="29"/>
        <v>0.39778257300021813</v>
      </c>
      <c r="F12" s="87">
        <f>ИБР!AI12</f>
        <v>1.1556441972793263</v>
      </c>
      <c r="G12" s="78">
        <f t="shared" si="8"/>
        <v>0.34420851498817473</v>
      </c>
      <c r="H12" s="78">
        <f t="shared" si="0"/>
        <v>3710.296973637649</v>
      </c>
      <c r="I12" s="54">
        <v>1169</v>
      </c>
      <c r="J12" s="57">
        <v>1445</v>
      </c>
      <c r="K12" s="54">
        <f t="shared" si="9"/>
        <v>0.34494634971490706</v>
      </c>
      <c r="L12" s="54">
        <v>525.9281883837405</v>
      </c>
      <c r="M12" s="56">
        <v>1250.5</v>
      </c>
      <c r="N12" s="52">
        <v>1447.989</v>
      </c>
      <c r="O12" s="52">
        <f t="shared" si="35"/>
        <v>0.997935757799265</v>
      </c>
      <c r="P12" s="54">
        <v>200</v>
      </c>
      <c r="Q12" s="57">
        <f>P12*109.2%-20</f>
        <v>198.4</v>
      </c>
      <c r="R12" s="54"/>
      <c r="S12" s="54"/>
      <c r="T12" s="54"/>
      <c r="U12" s="77">
        <v>480.31</v>
      </c>
      <c r="V12" s="54">
        <v>441</v>
      </c>
      <c r="W12" s="54">
        <v>509.418106829879</v>
      </c>
      <c r="X12" s="58">
        <f t="shared" si="30"/>
        <v>2128.299</v>
      </c>
      <c r="Y12" s="58">
        <f>AA12+AB12+100</f>
        <v>2228.299</v>
      </c>
      <c r="Z12" s="58">
        <f t="shared" si="31"/>
        <v>1.046985879333684</v>
      </c>
      <c r="AA12" s="58">
        <f>J12+525.9</f>
        <v>1970.9</v>
      </c>
      <c r="AB12" s="58">
        <f>X12-AA12</f>
        <v>157.3989999999999</v>
      </c>
      <c r="AC12" s="57">
        <v>504.51353432871986</v>
      </c>
      <c r="AD12" s="58">
        <f t="shared" si="10"/>
        <v>1954.418106829879</v>
      </c>
      <c r="AE12" s="56">
        <f t="shared" si="11"/>
        <v>1954.418106829879</v>
      </c>
      <c r="AF12" s="56">
        <v>2061.1800000000003</v>
      </c>
      <c r="AG12" s="56">
        <f>AE12/AF12</f>
        <v>0.9482035081020962</v>
      </c>
      <c r="AH12" s="54">
        <f t="shared" si="12"/>
        <v>2128.299</v>
      </c>
      <c r="AI12" s="85">
        <f t="shared" si="13"/>
        <v>1673.5135343287197</v>
      </c>
      <c r="AJ12" s="59">
        <f t="shared" si="1"/>
        <v>2147.91353432872</v>
      </c>
      <c r="AK12" s="54">
        <f t="shared" si="2"/>
        <v>1.0092160614315564</v>
      </c>
      <c r="AL12" s="59">
        <f t="shared" si="14"/>
        <v>1949.5135343287197</v>
      </c>
      <c r="AM12" s="59">
        <f>AH12*0.88</f>
        <v>1872.90312</v>
      </c>
      <c r="AN12" s="59">
        <v>648.8</v>
      </c>
      <c r="AO12" s="59">
        <f>AM12-AL12</f>
        <v>-76.6104143287198</v>
      </c>
      <c r="AP12" s="59">
        <f t="shared" si="15"/>
        <v>2071.30312</v>
      </c>
      <c r="AQ12" s="59">
        <f t="shared" si="16"/>
        <v>0.9732199845980288</v>
      </c>
      <c r="AR12" s="59">
        <f t="shared" si="17"/>
        <v>2322.3135343287195</v>
      </c>
      <c r="AS12" s="60">
        <v>2253.07</v>
      </c>
      <c r="AT12" s="59">
        <f t="shared" si="3"/>
        <v>1748.5564656712804</v>
      </c>
      <c r="AU12" s="59">
        <f t="shared" si="4"/>
        <v>1.0586247515034308</v>
      </c>
      <c r="AV12" s="54">
        <f t="shared" si="5"/>
        <v>0.9159960768335275</v>
      </c>
      <c r="AW12" s="54">
        <v>2441.1</v>
      </c>
      <c r="AX12" s="54">
        <f t="shared" si="6"/>
        <v>-491.58646567128017</v>
      </c>
      <c r="AY12" s="56"/>
      <c r="AZ12" s="56">
        <f>AX12*$AZ$14</f>
        <v>6138.389615593201</v>
      </c>
      <c r="BA12" s="54">
        <f t="shared" si="18"/>
        <v>1949.5135343287197</v>
      </c>
      <c r="BB12" s="54">
        <f t="shared" si="7"/>
        <v>0.9159960768335275</v>
      </c>
      <c r="BC12" s="56">
        <f t="shared" si="33"/>
        <v>1872.90312</v>
      </c>
      <c r="BD12" s="56">
        <f t="shared" si="19"/>
        <v>-76.6104143287198</v>
      </c>
      <c r="BE12" s="56"/>
      <c r="BF12" s="56">
        <v>2253.13</v>
      </c>
      <c r="BG12" s="61">
        <f t="shared" si="20"/>
        <v>1949.5135343287197</v>
      </c>
      <c r="BH12" s="56">
        <v>1812.88</v>
      </c>
      <c r="BI12" s="56"/>
      <c r="BJ12" s="56">
        <v>978</v>
      </c>
      <c r="BK12" s="59">
        <v>3523</v>
      </c>
      <c r="BL12" s="56">
        <v>3796</v>
      </c>
      <c r="BM12" s="56">
        <f t="shared" si="21"/>
        <v>273</v>
      </c>
      <c r="BN12" s="54">
        <f>AJ12+944</f>
        <v>3091.91353432872</v>
      </c>
      <c r="BO12" s="54">
        <f>AH12+907.2</f>
        <v>3035.499</v>
      </c>
      <c r="BP12" s="56">
        <f t="shared" si="22"/>
        <v>1.0185849293077416</v>
      </c>
      <c r="BQ12" s="56">
        <f t="shared" si="23"/>
        <v>56.41453432872004</v>
      </c>
      <c r="BR12" s="56">
        <f>J12+AC12</f>
        <v>1949.5135343287197</v>
      </c>
      <c r="BS12" s="56">
        <f>Q12</f>
        <v>198.4</v>
      </c>
      <c r="BT12" s="62"/>
      <c r="BU12" s="53">
        <v>638</v>
      </c>
      <c r="BV12" s="63">
        <f>BU12*90.8%</f>
        <v>579.304</v>
      </c>
      <c r="BW12" s="53">
        <f t="shared" si="34"/>
        <v>2766.299</v>
      </c>
      <c r="BX12" s="53">
        <f t="shared" si="24"/>
        <v>2727.21753432872</v>
      </c>
      <c r="BY12" s="53">
        <f t="shared" si="25"/>
        <v>98.58722915811776</v>
      </c>
      <c r="BZ12" s="62"/>
      <c r="CA12" s="53">
        <f>BW12+1467.1</f>
        <v>4233.398999999999</v>
      </c>
      <c r="CB12" s="53">
        <f>BX12+1612.4</f>
        <v>4339.61753432872</v>
      </c>
      <c r="CC12" s="80">
        <f t="shared" si="26"/>
        <v>102.50906031604204</v>
      </c>
      <c r="CD12" s="9">
        <f t="shared" si="27"/>
        <v>106.21853432872012</v>
      </c>
    </row>
    <row r="13" spans="1:82" ht="14.25">
      <c r="A13" s="30" t="s">
        <v>13</v>
      </c>
      <c r="B13" s="30">
        <v>1.482</v>
      </c>
      <c r="C13" s="109">
        <v>723.588</v>
      </c>
      <c r="D13" s="78">
        <f t="shared" si="28"/>
        <v>488.251012145749</v>
      </c>
      <c r="E13" s="78">
        <f>D13/$D$14</f>
        <v>0.27498344701293487</v>
      </c>
      <c r="F13" s="87">
        <f>ИБР!AI13</f>
        <v>1.2093287745046664</v>
      </c>
      <c r="G13" s="78">
        <f t="shared" si="8"/>
        <v>0.2273851849143062</v>
      </c>
      <c r="H13" s="78">
        <f t="shared" si="0"/>
        <v>3364.9623574322636</v>
      </c>
      <c r="I13" s="54">
        <v>3331</v>
      </c>
      <c r="J13" s="57">
        <v>2380</v>
      </c>
      <c r="K13" s="54">
        <f t="shared" si="9"/>
        <v>0.22960239990337053</v>
      </c>
      <c r="L13" s="54">
        <v>466.9177343036608</v>
      </c>
      <c r="M13" s="56">
        <v>808.7</v>
      </c>
      <c r="N13" s="52">
        <v>2382.062</v>
      </c>
      <c r="O13" s="52">
        <f t="shared" si="35"/>
        <v>0.9991343634212712</v>
      </c>
      <c r="P13" s="54">
        <v>475</v>
      </c>
      <c r="Q13" s="57">
        <f>P13*109.2%</f>
        <v>518.7</v>
      </c>
      <c r="R13" s="54"/>
      <c r="S13" s="54"/>
      <c r="T13" s="54"/>
      <c r="U13" s="77">
        <v>410.69</v>
      </c>
      <c r="V13" s="54">
        <f>S13-J13</f>
        <v>-2380</v>
      </c>
      <c r="W13" s="54">
        <v>859.061946724162</v>
      </c>
      <c r="X13" s="58">
        <f t="shared" si="30"/>
        <v>3267.752</v>
      </c>
      <c r="Y13" s="58">
        <f>AA13+AB13+100</f>
        <v>3367.752</v>
      </c>
      <c r="Z13" s="58">
        <f t="shared" si="31"/>
        <v>1.0306020775138383</v>
      </c>
      <c r="AA13" s="58">
        <f>J13+466.9</f>
        <v>2846.9</v>
      </c>
      <c r="AB13" s="58">
        <f>X13-AA13</f>
        <v>420.85199999999986</v>
      </c>
      <c r="AC13" s="57">
        <v>418.4724664587056</v>
      </c>
      <c r="AD13" s="58">
        <f t="shared" si="10"/>
        <v>3239.061946724162</v>
      </c>
      <c r="AE13" s="56">
        <f t="shared" si="11"/>
        <v>3239.061946724162</v>
      </c>
      <c r="AF13" s="56">
        <v>3475.8900000000003</v>
      </c>
      <c r="AG13" s="56">
        <f t="shared" si="32"/>
        <v>0.9318654924995216</v>
      </c>
      <c r="AH13" s="54">
        <f t="shared" si="12"/>
        <v>3267.752</v>
      </c>
      <c r="AI13" s="85">
        <f t="shared" si="13"/>
        <v>3749.4724664587056</v>
      </c>
      <c r="AJ13" s="59">
        <f t="shared" si="1"/>
        <v>3317.1724664587055</v>
      </c>
      <c r="AK13" s="54">
        <f t="shared" si="2"/>
        <v>1.0151236894533935</v>
      </c>
      <c r="AL13" s="59">
        <f t="shared" si="14"/>
        <v>2798.4724664587056</v>
      </c>
      <c r="AM13" s="59"/>
      <c r="AN13" s="59"/>
      <c r="AO13" s="59"/>
      <c r="AP13" s="59">
        <f t="shared" si="15"/>
        <v>3317.1724664587055</v>
      </c>
      <c r="AQ13" s="59">
        <f t="shared" si="16"/>
        <v>1.0151236894533935</v>
      </c>
      <c r="AR13" s="59">
        <f t="shared" si="17"/>
        <v>3749.4724664587056</v>
      </c>
      <c r="AS13" s="60">
        <v>3331.55</v>
      </c>
      <c r="AT13" s="59">
        <f t="shared" si="3"/>
        <v>2913.0775335412945</v>
      </c>
      <c r="AU13" s="59">
        <f t="shared" si="4"/>
        <v>1.0195235134122786</v>
      </c>
      <c r="AV13" s="54">
        <f t="shared" si="5"/>
        <v>0.8563907133891145</v>
      </c>
      <c r="AW13" s="54">
        <v>3759.7</v>
      </c>
      <c r="AX13" s="54">
        <f t="shared" si="6"/>
        <v>-961.2275335412942</v>
      </c>
      <c r="AY13" s="56"/>
      <c r="AZ13" s="56"/>
      <c r="BA13" s="54">
        <f t="shared" si="18"/>
        <v>2798.4724664587056</v>
      </c>
      <c r="BB13" s="54">
        <f t="shared" si="7"/>
        <v>0.8563907133891145</v>
      </c>
      <c r="BC13" s="56">
        <f t="shared" si="33"/>
        <v>2875.62176</v>
      </c>
      <c r="BD13" s="56">
        <f t="shared" si="19"/>
        <v>77.14929354129436</v>
      </c>
      <c r="BE13" s="56"/>
      <c r="BF13" s="56">
        <v>3249.3</v>
      </c>
      <c r="BG13" s="61">
        <f t="shared" si="20"/>
        <v>2798.4724664587056</v>
      </c>
      <c r="BH13" s="56">
        <v>3249.3</v>
      </c>
      <c r="BI13" s="56"/>
      <c r="BJ13" s="56">
        <v>436</v>
      </c>
      <c r="BK13" s="59">
        <v>4130</v>
      </c>
      <c r="BL13" s="56">
        <v>4472</v>
      </c>
      <c r="BM13" s="56">
        <f t="shared" si="21"/>
        <v>342</v>
      </c>
      <c r="BN13" s="54">
        <f>AJ13+422.5</f>
        <v>3739.6724664587055</v>
      </c>
      <c r="BO13" s="54">
        <f>AH13+421.1</f>
        <v>3688.852</v>
      </c>
      <c r="BP13" s="56">
        <f t="shared" si="22"/>
        <v>1.013776770241448</v>
      </c>
      <c r="BQ13" s="56">
        <f t="shared" si="23"/>
        <v>50.820466458705596</v>
      </c>
      <c r="BR13" s="56">
        <f>J13+AC13</f>
        <v>2798.4724664587056</v>
      </c>
      <c r="BS13" s="56"/>
      <c r="BT13" s="62"/>
      <c r="BU13" s="53">
        <v>651.8</v>
      </c>
      <c r="BV13" s="63">
        <f>BU13*90.8%+22+11</f>
        <v>624.8344</v>
      </c>
      <c r="BW13" s="53">
        <f t="shared" si="34"/>
        <v>3919.552</v>
      </c>
      <c r="BX13" s="53">
        <f t="shared" si="24"/>
        <v>3942.006866458705</v>
      </c>
      <c r="BY13" s="53">
        <f t="shared" si="25"/>
        <v>100.57289369955305</v>
      </c>
      <c r="BZ13" s="62"/>
      <c r="CA13" s="53">
        <f>BW13+591</f>
        <v>4510.552</v>
      </c>
      <c r="CB13" s="53">
        <f>BX13+658</f>
        <v>4600.006866458705</v>
      </c>
      <c r="CC13" s="80">
        <f t="shared" si="26"/>
        <v>101.98323545452321</v>
      </c>
      <c r="CD13" s="9">
        <f t="shared" si="27"/>
        <v>89.45486645870551</v>
      </c>
    </row>
    <row r="14" spans="1:82" ht="14.25">
      <c r="A14" s="5" t="s">
        <v>14</v>
      </c>
      <c r="B14" s="49">
        <f>SUM(B6:B13)</f>
        <v>30.145</v>
      </c>
      <c r="C14" s="59">
        <f>SUM(C6:C13)</f>
        <v>53524.41</v>
      </c>
      <c r="D14" s="76">
        <f t="shared" si="28"/>
        <v>1775.5651020069665</v>
      </c>
      <c r="E14" s="76">
        <f t="shared" si="29"/>
        <v>1</v>
      </c>
      <c r="F14" s="88">
        <f>ИБР!AB14</f>
        <v>0.35622590981106206</v>
      </c>
      <c r="G14" s="79">
        <f>E14/F14</f>
        <v>2.8072073716658847</v>
      </c>
      <c r="H14" s="79">
        <f>SUM(H6:H13)</f>
        <v>14843.08417761848</v>
      </c>
      <c r="I14" s="59">
        <f>SUM(I8:I13)</f>
        <v>10828.5</v>
      </c>
      <c r="J14" s="55">
        <v>11376.5</v>
      </c>
      <c r="K14" s="59">
        <f>G14+J14/(F14*C14*5662.4)</f>
        <v>2.807312745002666</v>
      </c>
      <c r="L14" s="54">
        <f>SUM(L6:L13)</f>
        <v>7180.399999999999</v>
      </c>
      <c r="M14" s="56">
        <f>SUM(M6:M13)</f>
        <v>44666.3</v>
      </c>
      <c r="N14" s="66">
        <f>SUM(N6:N13)</f>
        <v>11388.223</v>
      </c>
      <c r="O14" s="66">
        <f t="shared" si="35"/>
        <v>0.9989706032275624</v>
      </c>
      <c r="P14" s="66">
        <f>SUM(P7:P13)</f>
        <v>1875</v>
      </c>
      <c r="Q14" s="59">
        <f>SUM(Q7:Q13)</f>
        <v>2267.5</v>
      </c>
      <c r="R14" s="59">
        <f>N14+P14</f>
        <v>13263.223</v>
      </c>
      <c r="S14" s="59">
        <f>R14*1.1</f>
        <v>14589.545300000002</v>
      </c>
      <c r="T14" s="59">
        <f>SUM(T7:T13)</f>
        <v>0</v>
      </c>
      <c r="U14" s="66">
        <f>SUM(U6:U13)</f>
        <v>7210.43</v>
      </c>
      <c r="V14" s="59">
        <f>SUM(V6:V13)</f>
        <v>6166.0739803648685</v>
      </c>
      <c r="W14" s="59">
        <f>SUM(W7:W13)</f>
        <v>3517.9700000000003</v>
      </c>
      <c r="X14" s="58">
        <f>SUM(X7:X13)</f>
        <v>16455.953</v>
      </c>
      <c r="Y14" s="58"/>
      <c r="Z14" s="58"/>
      <c r="AA14" s="58"/>
      <c r="AB14" s="58">
        <f>SUM(AB8:AB13)</f>
        <v>1519.6510000000003</v>
      </c>
      <c r="AC14" s="55">
        <f>SUM(AC6:AC13)</f>
        <v>7596.230000000001</v>
      </c>
      <c r="AD14" s="68">
        <f>SUM(AD7:AD13)</f>
        <v>14894.470000000001</v>
      </c>
      <c r="AE14" s="56">
        <f>SUM(AE7:AE13)</f>
        <v>14894.470000000001</v>
      </c>
      <c r="AF14" s="56"/>
      <c r="AG14" s="56"/>
      <c r="AH14" s="59">
        <f>N14+P14+U14</f>
        <v>20473.653</v>
      </c>
      <c r="AI14" s="86">
        <f>SUM(AI6:AI13)</f>
        <v>18424.73</v>
      </c>
      <c r="AJ14" s="59">
        <f t="shared" si="1"/>
        <v>21240.230000000003</v>
      </c>
      <c r="AK14" s="54">
        <f t="shared" si="2"/>
        <v>1.0374421213449307</v>
      </c>
      <c r="AL14" s="69">
        <f>AC14+J14+Q14</f>
        <v>21240.230000000003</v>
      </c>
      <c r="AM14" s="69">
        <f>AD14+K14+R14</f>
        <v>28160.500312745004</v>
      </c>
      <c r="AN14" s="70">
        <f>SUM(AN7:AN13)</f>
        <v>3619.3</v>
      </c>
      <c r="AO14" s="69">
        <f>SUM(AO7:AO13)</f>
        <v>-33.29490271419377</v>
      </c>
      <c r="AP14" s="69">
        <f>SUM(AP6:AP13)</f>
        <v>16250.061116920937</v>
      </c>
      <c r="AQ14" s="69"/>
      <c r="AR14" s="70">
        <f>SUM(AR6:AR13)</f>
        <v>22044.03</v>
      </c>
      <c r="AS14" s="71">
        <f>SUM(AS6:AS13)</f>
        <v>16802.703449599696</v>
      </c>
      <c r="AT14" s="72"/>
      <c r="AU14" s="72">
        <f t="shared" si="4"/>
        <v>0.8206988488864052</v>
      </c>
      <c r="AV14" s="53">
        <f t="shared" si="5"/>
        <v>1.0374421213449307</v>
      </c>
      <c r="AW14" s="53">
        <f>SUM(AW6:AW13)</f>
        <v>22793.6</v>
      </c>
      <c r="AX14" s="53">
        <f t="shared" si="6"/>
        <v>-1553.3699999999953</v>
      </c>
      <c r="AY14" s="62">
        <v>124.4</v>
      </c>
      <c r="AZ14" s="62">
        <f>AX14/AY14</f>
        <v>-12.486897106109287</v>
      </c>
      <c r="BA14" s="73">
        <f t="shared" si="18"/>
        <v>18972.730000000003</v>
      </c>
      <c r="BB14" s="73">
        <f t="shared" si="7"/>
        <v>0.9266900244914772</v>
      </c>
      <c r="BC14" s="62">
        <f>SUM(BC7:BC13)</f>
        <v>13562.254640000001</v>
      </c>
      <c r="BD14" s="62">
        <f>SUM(BD7:BD13)</f>
        <v>-1071.3828971755645</v>
      </c>
      <c r="BE14" s="62"/>
      <c r="BF14" s="62">
        <f>SUM(BF6:BF13)</f>
        <v>20115.2</v>
      </c>
      <c r="BG14" s="74">
        <f>SUM(BG6:BG13)</f>
        <v>14015.856019635132</v>
      </c>
      <c r="BH14" s="62">
        <f>SUM(BH6:BH13)</f>
        <v>17262.55</v>
      </c>
      <c r="BI14" s="62"/>
      <c r="BJ14" s="62">
        <f>SUM(BJ6:BJ13)</f>
        <v>40780.50000000001</v>
      </c>
      <c r="BK14" s="67">
        <f>SUM(BK6:BK13)</f>
        <v>77505.1</v>
      </c>
      <c r="BL14" s="62">
        <f>AJ14+BJ14</f>
        <v>62020.73000000001</v>
      </c>
      <c r="BM14" s="62">
        <f t="shared" si="21"/>
        <v>-15484.369999999995</v>
      </c>
      <c r="BN14" s="53">
        <f>SUM(BN6:BN13)</f>
        <v>53658.05601963513</v>
      </c>
      <c r="BO14" s="53">
        <f>SUM(BO6:BO13)</f>
        <v>61614.653000000006</v>
      </c>
      <c r="BP14" s="62">
        <f t="shared" si="22"/>
        <v>0.8708651823395829</v>
      </c>
      <c r="BQ14" s="62">
        <f t="shared" si="23"/>
        <v>-7956.596980364877</v>
      </c>
      <c r="BR14" s="62"/>
      <c r="BS14" s="62"/>
      <c r="BT14" s="62"/>
      <c r="BU14" s="53">
        <f>SUM(BU6:BU13)</f>
        <v>4070.8</v>
      </c>
      <c r="BV14" s="55">
        <f>SUM(BV6:BV13)</f>
        <v>3680.5384000000004</v>
      </c>
      <c r="BW14" s="53">
        <f t="shared" si="34"/>
        <v>24544.453</v>
      </c>
      <c r="BX14" s="53">
        <f>J14+AC14+Q14+BV14</f>
        <v>24920.768400000004</v>
      </c>
      <c r="BY14" s="53">
        <f t="shared" si="25"/>
        <v>101.53319937502785</v>
      </c>
      <c r="BZ14" s="62"/>
      <c r="CA14" s="53">
        <f>SUM(CA6:CA13)</f>
        <v>74322.153</v>
      </c>
      <c r="CB14" s="53">
        <f>SUM(CB6:CB13)</f>
        <v>74642.69441963514</v>
      </c>
      <c r="CC14" s="80">
        <f t="shared" si="26"/>
        <v>100.43128650973705</v>
      </c>
      <c r="CD14" s="9">
        <f t="shared" si="27"/>
        <v>320.54141963513393</v>
      </c>
    </row>
    <row r="15" spans="2:81" ht="13.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56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75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>
        <f>BV14/BU14*100</f>
        <v>90.41314729291541</v>
      </c>
      <c r="BW15" s="62"/>
      <c r="BX15" s="62"/>
      <c r="BY15" s="62"/>
      <c r="BZ15" s="62"/>
      <c r="CA15" s="62">
        <f>CA14</f>
        <v>74322.153</v>
      </c>
      <c r="CB15" s="62">
        <f>CB14</f>
        <v>74642.69441963514</v>
      </c>
      <c r="CC15" s="62"/>
    </row>
    <row r="16" spans="17:60" ht="13.5" hidden="1">
      <c r="Q16" s="9"/>
      <c r="Y16" s="9"/>
      <c r="Z16" s="9"/>
      <c r="AJ16" s="14">
        <f>AJ14-AC14-Q14</f>
        <v>11376.500000000002</v>
      </c>
      <c r="AL16" s="9"/>
      <c r="AM16" s="9"/>
      <c r="AN16" s="9"/>
      <c r="AO16" s="9"/>
      <c r="AP16" s="9"/>
      <c r="AQ16" s="9"/>
      <c r="AR16" s="9"/>
      <c r="AS16" s="27">
        <f>AS14-AC14</f>
        <v>9206.473449599695</v>
      </c>
      <c r="AT16" s="9"/>
      <c r="AU16" s="9"/>
      <c r="BH16" s="14">
        <f>BH14+Q14</f>
        <v>19530.05</v>
      </c>
    </row>
    <row r="17" spans="14:36" ht="13.5" hidden="1">
      <c r="N17" s="9"/>
      <c r="O17" s="14"/>
      <c r="S17" s="9"/>
      <c r="T17" s="9"/>
      <c r="U17" s="9"/>
      <c r="V17" s="9"/>
      <c r="AJ17" s="14">
        <f>AJ14-Q14</f>
        <v>18972.730000000003</v>
      </c>
    </row>
    <row r="18" ht="13.5" hidden="1"/>
    <row r="19" ht="13.5" hidden="1">
      <c r="Q19" s="14">
        <f>J14+Q14</f>
        <v>13644</v>
      </c>
    </row>
    <row r="20" spans="10:80" ht="13.5" customHeight="1">
      <c r="J20" s="37"/>
      <c r="K20" s="38"/>
      <c r="L20" s="38"/>
      <c r="M20" s="38"/>
      <c r="N20" s="38"/>
      <c r="Q20" s="1">
        <f>Q14/P14*100</f>
        <v>120.93333333333334</v>
      </c>
      <c r="AJ20" s="14">
        <f>AJ14-Q14</f>
        <v>18972.730000000003</v>
      </c>
      <c r="CA20" s="1">
        <v>49777.7</v>
      </c>
      <c r="CB20" s="1">
        <v>54678.8</v>
      </c>
    </row>
    <row r="21" spans="10:81" ht="13.5" hidden="1">
      <c r="J21" s="37"/>
      <c r="K21" s="38"/>
      <c r="L21" s="38"/>
      <c r="M21" s="38"/>
      <c r="N21" s="38"/>
      <c r="AC21" s="14"/>
      <c r="CA21" s="9">
        <f>CA15-CA20</f>
        <v>24544.45300000001</v>
      </c>
      <c r="CB21" s="9">
        <f>CB15-CB20</f>
        <v>19963.894419635137</v>
      </c>
      <c r="CC21" s="9">
        <f>CB21/CA21*100</f>
        <v>81.33770355214325</v>
      </c>
    </row>
    <row r="22" spans="10:29" ht="13.5" hidden="1">
      <c r="J22" s="37"/>
      <c r="K22" s="38"/>
      <c r="L22" s="38"/>
      <c r="M22" s="38"/>
      <c r="N22" s="38"/>
      <c r="AC22" s="14"/>
    </row>
    <row r="23" spans="10:29" ht="13.5" hidden="1">
      <c r="J23" s="37"/>
      <c r="K23" s="38"/>
      <c r="L23" s="38"/>
      <c r="M23" s="38"/>
      <c r="N23" s="38"/>
      <c r="AC23" s="14"/>
    </row>
    <row r="24" spans="10:29" ht="13.5" hidden="1">
      <c r="J24" s="37"/>
      <c r="K24" s="38"/>
      <c r="L24" s="38"/>
      <c r="M24" s="38"/>
      <c r="N24" s="38"/>
      <c r="AC24" s="14"/>
    </row>
    <row r="25" spans="10:29" ht="13.5" hidden="1">
      <c r="J25" s="37"/>
      <c r="K25" s="38"/>
      <c r="L25" s="38"/>
      <c r="M25" s="38"/>
      <c r="N25" s="38"/>
      <c r="AC25" s="14"/>
    </row>
    <row r="26" spans="10:29" ht="13.5" hidden="1">
      <c r="J26" s="37"/>
      <c r="K26" s="38"/>
      <c r="L26" s="38"/>
      <c r="M26" s="38"/>
      <c r="N26" s="38"/>
      <c r="AC26" s="14"/>
    </row>
    <row r="27" spans="10:29" ht="15" hidden="1">
      <c r="J27" s="142" t="s">
        <v>67</v>
      </c>
      <c r="K27" s="39"/>
      <c r="L27" s="39"/>
      <c r="M27" s="39"/>
      <c r="N27" s="142" t="s">
        <v>68</v>
      </c>
      <c r="O27" s="143" t="s">
        <v>69</v>
      </c>
      <c r="AC27" s="14"/>
    </row>
    <row r="28" spans="10:29" ht="75" customHeight="1" hidden="1">
      <c r="J28" s="142"/>
      <c r="K28" s="39"/>
      <c r="L28" s="39"/>
      <c r="M28" s="39"/>
      <c r="N28" s="142"/>
      <c r="O28" s="143"/>
      <c r="AC28" s="14"/>
    </row>
    <row r="29" spans="10:15" ht="15" hidden="1">
      <c r="J29" s="40">
        <v>9</v>
      </c>
      <c r="K29" s="41"/>
      <c r="L29" s="41"/>
      <c r="M29" s="41"/>
      <c r="N29" s="40">
        <v>15</v>
      </c>
      <c r="O29" s="47"/>
    </row>
    <row r="30" spans="10:15" ht="15" hidden="1">
      <c r="J30" s="42">
        <v>0</v>
      </c>
      <c r="K30" s="43"/>
      <c r="L30" s="43"/>
      <c r="M30" s="43"/>
      <c r="N30" s="44">
        <v>3946.293061170291</v>
      </c>
      <c r="O30" s="48">
        <f>J30+N30</f>
        <v>3946.293061170291</v>
      </c>
    </row>
    <row r="31" spans="10:15" ht="15" hidden="1">
      <c r="J31" s="42">
        <v>200</v>
      </c>
      <c r="K31" s="43"/>
      <c r="L31" s="43"/>
      <c r="M31" s="43"/>
      <c r="N31" s="44">
        <v>730.235498244268</v>
      </c>
      <c r="O31" s="48">
        <f aca="true" t="shared" si="36" ref="O31:O37">J31+N31</f>
        <v>930.235498244268</v>
      </c>
    </row>
    <row r="32" spans="10:15" ht="15" hidden="1">
      <c r="J32" s="42">
        <v>2059</v>
      </c>
      <c r="K32" s="43"/>
      <c r="L32" s="43"/>
      <c r="M32" s="43"/>
      <c r="N32" s="44">
        <v>369.1604281625306</v>
      </c>
      <c r="O32" s="48">
        <f t="shared" si="36"/>
        <v>2428.1604281625305</v>
      </c>
    </row>
    <row r="33" spans="10:15" ht="15" hidden="1">
      <c r="J33" s="42">
        <v>1691</v>
      </c>
      <c r="K33" s="43"/>
      <c r="L33" s="43"/>
      <c r="M33" s="43"/>
      <c r="N33" s="44">
        <v>418.73643955265715</v>
      </c>
      <c r="O33" s="48">
        <f t="shared" si="36"/>
        <v>2109.736439552657</v>
      </c>
    </row>
    <row r="34" spans="10:15" ht="15" hidden="1">
      <c r="J34" s="42">
        <v>2297</v>
      </c>
      <c r="K34" s="43"/>
      <c r="L34" s="43"/>
      <c r="M34" s="43"/>
      <c r="N34" s="44">
        <v>735.7675853521791</v>
      </c>
      <c r="O34" s="48">
        <f t="shared" si="36"/>
        <v>3032.767585352179</v>
      </c>
    </row>
    <row r="35" spans="10:15" ht="15" hidden="1">
      <c r="J35" s="42">
        <v>1509</v>
      </c>
      <c r="K35" s="43"/>
      <c r="L35" s="43"/>
      <c r="M35" s="43"/>
      <c r="N35" s="44">
        <v>122.76977927941219</v>
      </c>
      <c r="O35" s="48">
        <f t="shared" si="36"/>
        <v>1631.7697792794122</v>
      </c>
    </row>
    <row r="36" spans="10:15" ht="15" hidden="1">
      <c r="J36" s="42">
        <v>1357</v>
      </c>
      <c r="K36" s="43"/>
      <c r="L36" s="43"/>
      <c r="M36" s="43"/>
      <c r="N36" s="44">
        <v>478.52553483431205</v>
      </c>
      <c r="O36" s="48">
        <f t="shared" si="36"/>
        <v>1835.525534834312</v>
      </c>
    </row>
    <row r="37" spans="10:15" ht="15" hidden="1">
      <c r="J37" s="42">
        <v>2675</v>
      </c>
      <c r="K37" s="43"/>
      <c r="L37" s="43"/>
      <c r="M37" s="43"/>
      <c r="N37" s="44">
        <v>409.1616734043495</v>
      </c>
      <c r="O37" s="48">
        <f t="shared" si="36"/>
        <v>3084.1616734043496</v>
      </c>
    </row>
    <row r="38" spans="10:15" ht="15" hidden="1">
      <c r="J38" s="45">
        <v>11788</v>
      </c>
      <c r="K38" s="43"/>
      <c r="L38" s="43"/>
      <c r="M38" s="43"/>
      <c r="N38" s="46">
        <f>SUM(N30:N37)</f>
        <v>7210.65</v>
      </c>
      <c r="O38" s="46">
        <f>SUM(O30:O37)</f>
        <v>18998.65</v>
      </c>
    </row>
  </sheetData>
  <sheetProtection/>
  <mergeCells count="38">
    <mergeCell ref="J27:J28"/>
    <mergeCell ref="N27:N28"/>
    <mergeCell ref="O27:O28"/>
    <mergeCell ref="AQ3:AQ4"/>
    <mergeCell ref="AM3:AM4"/>
    <mergeCell ref="N3:N4"/>
    <mergeCell ref="R3:R4"/>
    <mergeCell ref="Q3:Q4"/>
    <mergeCell ref="O3:O4"/>
    <mergeCell ref="AO3:AO4"/>
    <mergeCell ref="A1:K1"/>
    <mergeCell ref="A3:A4"/>
    <mergeCell ref="B3:B4"/>
    <mergeCell ref="C3:C4"/>
    <mergeCell ref="D3:D4"/>
    <mergeCell ref="E3:E4"/>
    <mergeCell ref="F3:F4"/>
    <mergeCell ref="J3:J4"/>
    <mergeCell ref="K3:K4"/>
    <mergeCell ref="G3:G4"/>
    <mergeCell ref="U3:U4"/>
    <mergeCell ref="S3:S4"/>
    <mergeCell ref="P3:P4"/>
    <mergeCell ref="AK3:AK4"/>
    <mergeCell ref="W3:W4"/>
    <mergeCell ref="AL3:AL4"/>
    <mergeCell ref="AJ3:AJ4"/>
    <mergeCell ref="AH3:AH4"/>
    <mergeCell ref="AU3:AU4"/>
    <mergeCell ref="AR3:AR4"/>
    <mergeCell ref="BA3:BA4"/>
    <mergeCell ref="BB3:BB4"/>
    <mergeCell ref="H3:H4"/>
    <mergeCell ref="T3:T4"/>
    <mergeCell ref="AW3:AW4"/>
    <mergeCell ref="AX3:AX4"/>
    <mergeCell ref="AV3:AV4"/>
    <mergeCell ref="AC3:AC4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3:I20"/>
  <sheetViews>
    <sheetView tabSelected="1" zoomScalePageLayoutView="0" workbookViewId="0" topLeftCell="A1">
      <selection activeCell="A19" sqref="A19:IV21"/>
    </sheetView>
  </sheetViews>
  <sheetFormatPr defaultColWidth="9.140625" defaultRowHeight="15"/>
  <cols>
    <col min="1" max="1" width="9.140625" style="1" customWidth="1"/>
    <col min="2" max="2" width="27.8515625" style="1" customWidth="1"/>
    <col min="3" max="3" width="16.140625" style="1" customWidth="1"/>
    <col min="4" max="4" width="12.00390625" style="1" customWidth="1"/>
    <col min="5" max="5" width="16.421875" style="1" customWidth="1"/>
    <col min="6" max="6" width="13.8515625" style="1" customWidth="1"/>
    <col min="7" max="8" width="0" style="1" hidden="1" customWidth="1"/>
    <col min="9" max="9" width="14.140625" style="1" customWidth="1"/>
    <col min="10" max="16384" width="9.140625" style="1" customWidth="1"/>
  </cols>
  <sheetData>
    <row r="3" spans="1:9" ht="13.5">
      <c r="A3" s="95"/>
      <c r="B3" s="95"/>
      <c r="C3" s="95"/>
      <c r="D3" s="95"/>
      <c r="E3" s="95"/>
      <c r="F3" s="95"/>
      <c r="G3" s="95"/>
      <c r="H3" s="95"/>
      <c r="I3" s="95"/>
    </row>
    <row r="4" spans="1:9" ht="13.5">
      <c r="A4" s="120" t="s">
        <v>93</v>
      </c>
      <c r="B4" s="120"/>
      <c r="C4" s="120"/>
      <c r="D4" s="120"/>
      <c r="E4" s="120"/>
      <c r="F4" s="120"/>
      <c r="G4" s="120"/>
      <c r="H4" s="120"/>
      <c r="I4" s="120"/>
    </row>
    <row r="5" spans="1:9" ht="15" customHeight="1">
      <c r="A5" s="115" t="s">
        <v>103</v>
      </c>
      <c r="B5" s="115"/>
      <c r="C5" s="115"/>
      <c r="D5" s="115"/>
      <c r="E5" s="115"/>
      <c r="F5" s="115"/>
      <c r="G5" s="115"/>
      <c r="H5" s="115"/>
      <c r="I5" s="115"/>
    </row>
    <row r="6" spans="1:9" ht="13.5">
      <c r="A6" s="95"/>
      <c r="B6" s="95"/>
      <c r="C6" s="95"/>
      <c r="D6" s="95"/>
      <c r="E6" s="95"/>
      <c r="F6" s="95"/>
      <c r="G6" s="95"/>
      <c r="H6" s="95"/>
      <c r="I6" s="95"/>
    </row>
    <row r="7" spans="1:9" ht="89.25" customHeight="1">
      <c r="A7" s="95"/>
      <c r="B7" s="110" t="s">
        <v>0</v>
      </c>
      <c r="C7" s="111" t="s">
        <v>94</v>
      </c>
      <c r="D7" s="112" t="s">
        <v>58</v>
      </c>
      <c r="E7" s="112" t="s">
        <v>104</v>
      </c>
      <c r="F7" s="112" t="s">
        <v>92</v>
      </c>
      <c r="G7" s="30"/>
      <c r="H7" s="30"/>
      <c r="I7" s="112" t="s">
        <v>95</v>
      </c>
    </row>
    <row r="8" spans="1:9" ht="13.5">
      <c r="A8" s="95"/>
      <c r="B8" s="113">
        <v>1</v>
      </c>
      <c r="C8" s="113">
        <v>2</v>
      </c>
      <c r="D8" s="113">
        <v>3</v>
      </c>
      <c r="E8" s="113">
        <v>4</v>
      </c>
      <c r="F8" s="113">
        <v>5</v>
      </c>
      <c r="G8" s="113"/>
      <c r="H8" s="113"/>
      <c r="I8" s="113">
        <v>6</v>
      </c>
    </row>
    <row r="9" spans="1:9" ht="13.5">
      <c r="A9" s="95"/>
      <c r="B9" s="30" t="s">
        <v>6</v>
      </c>
      <c r="C9" s="30">
        <v>17989</v>
      </c>
      <c r="D9" s="36">
        <f>C9/$C$17</f>
        <v>0.5967490462763311</v>
      </c>
      <c r="E9" s="31">
        <f>$E$17*D9</f>
        <v>5651.458135345829</v>
      </c>
      <c r="F9" s="31">
        <f>$D$9*F17</f>
        <v>5877.745373693813</v>
      </c>
      <c r="G9" s="31"/>
      <c r="H9" s="31"/>
      <c r="I9" s="31">
        <f>$I$17*D9</f>
        <v>6113.043522640571</v>
      </c>
    </row>
    <row r="10" spans="1:9" ht="13.5">
      <c r="A10" s="95"/>
      <c r="B10" s="30" t="s">
        <v>7</v>
      </c>
      <c r="C10" s="30">
        <v>2364</v>
      </c>
      <c r="D10" s="36">
        <f aca="true" t="shared" si="0" ref="D10:D17">C10/$C$17</f>
        <v>0.07842096533421794</v>
      </c>
      <c r="E10" s="31">
        <f aca="true" t="shared" si="1" ref="E10:E15">$E$17*D10</f>
        <v>742.6786943108309</v>
      </c>
      <c r="F10" s="31">
        <f>$D$10*F17</f>
        <v>772.4159243655664</v>
      </c>
      <c r="G10" s="31"/>
      <c r="H10" s="31"/>
      <c r="I10" s="31">
        <f aca="true" t="shared" si="2" ref="I10:I16">$I$17*D10</f>
        <v>803.3373109968485</v>
      </c>
    </row>
    <row r="11" spans="1:9" ht="13.5">
      <c r="A11" s="95"/>
      <c r="B11" s="30" t="s">
        <v>8</v>
      </c>
      <c r="C11" s="30">
        <v>1222</v>
      </c>
      <c r="D11" s="36">
        <f>C11/$C$17</f>
        <v>0.040537402554320784</v>
      </c>
      <c r="E11" s="31">
        <f>$E$17*D11</f>
        <v>383.90582252446507</v>
      </c>
      <c r="F11" s="31">
        <f aca="true" t="shared" si="3" ref="F11:F16">$F$17*D11</f>
        <v>399.27760557306357</v>
      </c>
      <c r="G11" s="31"/>
      <c r="H11" s="31"/>
      <c r="I11" s="31">
        <f>$I$17*D11</f>
        <v>415.26150340023224</v>
      </c>
    </row>
    <row r="12" spans="1:9" ht="13.5">
      <c r="A12" s="95"/>
      <c r="B12" s="30" t="s">
        <v>9</v>
      </c>
      <c r="C12" s="30">
        <v>1535</v>
      </c>
      <c r="D12" s="36">
        <f>C12/$C$17</f>
        <v>0.05092055067175319</v>
      </c>
      <c r="E12" s="31">
        <f t="shared" si="1"/>
        <v>482.2384922872781</v>
      </c>
      <c r="F12" s="31">
        <f t="shared" si="3"/>
        <v>501.54756510200696</v>
      </c>
      <c r="G12" s="31"/>
      <c r="H12" s="31"/>
      <c r="I12" s="31">
        <f t="shared" si="2"/>
        <v>521.6255382318792</v>
      </c>
    </row>
    <row r="13" spans="1:9" ht="13.5">
      <c r="A13" s="95"/>
      <c r="B13" s="30" t="s">
        <v>29</v>
      </c>
      <c r="C13" s="30">
        <v>3171</v>
      </c>
      <c r="D13" s="36">
        <f t="shared" si="0"/>
        <v>0.10519157405871621</v>
      </c>
      <c r="E13" s="31">
        <f t="shared" si="1"/>
        <v>996.2073348814066</v>
      </c>
      <c r="F13" s="31">
        <f t="shared" si="3"/>
        <v>1036.0959797644718</v>
      </c>
      <c r="G13" s="31"/>
      <c r="H13" s="31"/>
      <c r="I13" s="31">
        <f t="shared" si="2"/>
        <v>1077.5730174158236</v>
      </c>
    </row>
    <row r="14" spans="1:9" ht="13.5">
      <c r="A14" s="95"/>
      <c r="B14" s="30" t="s">
        <v>11</v>
      </c>
      <c r="C14" s="30">
        <v>426</v>
      </c>
      <c r="D14" s="36">
        <f t="shared" si="0"/>
        <v>0.014131696798805772</v>
      </c>
      <c r="E14" s="31">
        <f t="shared" si="1"/>
        <v>133.83296268037816</v>
      </c>
      <c r="F14" s="31">
        <f t="shared" si="3"/>
        <v>139.19170210648534</v>
      </c>
      <c r="G14" s="31"/>
      <c r="H14" s="31"/>
      <c r="I14" s="31">
        <f t="shared" si="2"/>
        <v>144.76383015425444</v>
      </c>
    </row>
    <row r="15" spans="1:9" ht="13.5">
      <c r="A15" s="95"/>
      <c r="B15" s="30" t="s">
        <v>12</v>
      </c>
      <c r="C15" s="30">
        <v>1956</v>
      </c>
      <c r="D15" s="36">
        <f t="shared" si="0"/>
        <v>0.06488638248465749</v>
      </c>
      <c r="E15" s="31">
        <f t="shared" si="1"/>
        <v>614.5006455465251</v>
      </c>
      <c r="F15" s="31">
        <f t="shared" si="3"/>
        <v>639.1055617847072</v>
      </c>
      <c r="G15" s="31"/>
      <c r="H15" s="31"/>
      <c r="I15" s="31">
        <f t="shared" si="2"/>
        <v>664.6902623984076</v>
      </c>
    </row>
    <row r="16" spans="1:9" ht="13.5">
      <c r="A16" s="95"/>
      <c r="B16" s="30" t="s">
        <v>86</v>
      </c>
      <c r="C16" s="30">
        <v>1482</v>
      </c>
      <c r="D16" s="36">
        <f t="shared" si="0"/>
        <v>0.049162381821197546</v>
      </c>
      <c r="E16" s="31">
        <f>$E$17*D16</f>
        <v>465.58791242328743</v>
      </c>
      <c r="F16" s="31">
        <f t="shared" si="3"/>
        <v>484.2302876098856</v>
      </c>
      <c r="G16" s="31"/>
      <c r="H16" s="31"/>
      <c r="I16" s="31">
        <f t="shared" si="2"/>
        <v>503.61501476198373</v>
      </c>
    </row>
    <row r="17" spans="1:9" ht="13.5">
      <c r="A17" s="95"/>
      <c r="B17" s="100" t="s">
        <v>14</v>
      </c>
      <c r="C17" s="100">
        <f>SUM(C9:C16)</f>
        <v>30145</v>
      </c>
      <c r="D17" s="49">
        <f t="shared" si="0"/>
        <v>1</v>
      </c>
      <c r="E17" s="114">
        <f>9472.5-2.09</f>
        <v>9470.41</v>
      </c>
      <c r="F17" s="114">
        <f>9851.7-2.09</f>
        <v>9849.61</v>
      </c>
      <c r="G17" s="49">
        <v>7596.23</v>
      </c>
      <c r="H17" s="49">
        <v>7596.23</v>
      </c>
      <c r="I17" s="114">
        <f>10246-2.09</f>
        <v>10243.91</v>
      </c>
    </row>
    <row r="18" ht="13.5">
      <c r="C18" s="20">
        <v>35400</v>
      </c>
    </row>
    <row r="19" spans="5:6" ht="13.5" hidden="1">
      <c r="E19" s="94" t="s">
        <v>100</v>
      </c>
      <c r="F19" s="93"/>
    </row>
    <row r="20" ht="13.5" hidden="1">
      <c r="E20" s="94" t="s">
        <v>101</v>
      </c>
    </row>
    <row r="21" ht="13.5" hidden="1"/>
  </sheetData>
  <sheetProtection/>
  <mergeCells count="2"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Сафотина А.В.</dc:creator>
  <cp:keywords/>
  <dc:description/>
  <cp:lastModifiedBy>Lapshova</cp:lastModifiedBy>
  <cp:lastPrinted>2017-11-13T11:36:10Z</cp:lastPrinted>
  <dcterms:created xsi:type="dcterms:W3CDTF">2008-10-20T05:58:23Z</dcterms:created>
  <dcterms:modified xsi:type="dcterms:W3CDTF">2017-11-13T11:36:13Z</dcterms:modified>
  <cp:category/>
  <cp:version/>
  <cp:contentType/>
  <cp:contentStatus/>
</cp:coreProperties>
</file>